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Tokoro\kyousitu\"/>
    </mc:Choice>
  </mc:AlternateContent>
  <xr:revisionPtr revIDLastSave="0" documentId="8_{5BB7D837-1A89-42A9-9F29-CF29A27EDBE1}" xr6:coauthVersionLast="47" xr6:coauthVersionMax="47" xr10:uidLastSave="{00000000-0000-0000-0000-000000000000}"/>
  <bookViews>
    <workbookView xWindow="840" yWindow="4065" windowWidth="14205" windowHeight="9675" xr2:uid="{00000000-000D-0000-FFFF-FFFF00000000}"/>
  </bookViews>
  <sheets>
    <sheet name="九星気学方位盤" sheetId="5" r:id="rId1"/>
    <sheet name="吉凶判定表" sheetId="4" r:id="rId2"/>
    <sheet name="keisan" sheetId="3" state="hidden" r:id="rId3"/>
    <sheet name="Sheet1" sheetId="6" state="hidden" r:id="rId4"/>
  </sheets>
  <definedNames>
    <definedName name="_xlnm._FilterDatabase" localSheetId="2" hidden="1">keisan!$Q$38:$Y$119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G9" i="3" l="1"/>
  <c r="AG8" i="3"/>
  <c r="AG7" i="3"/>
  <c r="AG6" i="3"/>
  <c r="AG5" i="3"/>
  <c r="AG2" i="3"/>
  <c r="AF9" i="3"/>
  <c r="AF8" i="3"/>
  <c r="AF7" i="3"/>
  <c r="AF6" i="3"/>
  <c r="AF3" i="3"/>
  <c r="AF2" i="3"/>
  <c r="D40" i="3" l="1"/>
  <c r="E40" i="3" s="1"/>
  <c r="C43" i="3"/>
  <c r="K119" i="3"/>
  <c r="I17" i="4"/>
  <c r="E3" i="3" s="1"/>
  <c r="J17" i="4"/>
  <c r="G3" i="3" s="1"/>
  <c r="K17" i="4"/>
  <c r="I3" i="3" s="1"/>
  <c r="I18" i="4"/>
  <c r="E4" i="3" s="1"/>
  <c r="J18" i="4"/>
  <c r="G4" i="3" s="1"/>
  <c r="K18" i="4"/>
  <c r="I4" i="3" s="1"/>
  <c r="I20" i="4"/>
  <c r="E6" i="3" s="1"/>
  <c r="J20" i="4"/>
  <c r="G6" i="3" s="1"/>
  <c r="K20" i="4"/>
  <c r="I6" i="3" s="1"/>
  <c r="I22" i="4"/>
  <c r="H52" i="4" s="1"/>
  <c r="J53" i="4"/>
  <c r="K53" i="4"/>
  <c r="L53" i="4"/>
  <c r="M53" i="4"/>
  <c r="N53" i="4"/>
  <c r="O53" i="4"/>
  <c r="P53" i="4"/>
  <c r="Q53" i="4"/>
  <c r="R53" i="4"/>
  <c r="S53" i="4"/>
  <c r="T53" i="4"/>
  <c r="U53" i="4"/>
  <c r="L40" i="5"/>
  <c r="S40" i="5"/>
  <c r="F43" i="3" l="1"/>
  <c r="F40" i="3"/>
  <c r="G43" i="3"/>
  <c r="Z4" i="3"/>
  <c r="D35" i="3"/>
  <c r="AE27" i="5"/>
  <c r="N27" i="5"/>
  <c r="AE28" i="5"/>
  <c r="N28" i="5"/>
  <c r="Z3" i="3"/>
  <c r="Q6" i="3"/>
  <c r="Z6" i="3"/>
  <c r="T7" i="3" l="1"/>
  <c r="R7" i="3"/>
  <c r="T4" i="3"/>
  <c r="S4" i="3" s="1"/>
  <c r="R4" i="3"/>
  <c r="AK18" i="3" s="1"/>
  <c r="T3" i="3"/>
  <c r="S3" i="3" s="1"/>
  <c r="R3" i="3"/>
  <c r="Z12" i="3" s="1"/>
  <c r="U8" i="3"/>
  <c r="S8" i="3"/>
  <c r="G47" i="3"/>
  <c r="G46" i="3"/>
  <c r="G48" i="3"/>
  <c r="G45" i="3"/>
  <c r="G44" i="3"/>
  <c r="G40" i="3"/>
  <c r="I43" i="3"/>
  <c r="F47" i="3"/>
  <c r="F45" i="3"/>
  <c r="F44" i="3"/>
  <c r="F46" i="3"/>
  <c r="F48" i="3"/>
  <c r="AH30" i="5"/>
  <c r="Q30" i="5"/>
  <c r="AM11" i="3" l="1"/>
  <c r="AI19" i="3"/>
  <c r="AN19" i="3"/>
  <c r="AK14" i="3"/>
  <c r="V34" i="3" s="1"/>
  <c r="AG19" i="3"/>
  <c r="AG11" i="3"/>
  <c r="AI16" i="3"/>
  <c r="AJ11" i="3"/>
  <c r="AJ15" i="3"/>
  <c r="AI11" i="3"/>
  <c r="AL18" i="3"/>
  <c r="AJ18" i="3"/>
  <c r="AN15" i="3"/>
  <c r="AN11" i="3"/>
  <c r="AG16" i="3"/>
  <c r="AN16" i="3"/>
  <c r="AJ14" i="3"/>
  <c r="AK12" i="3"/>
  <c r="AG18" i="3"/>
  <c r="AL19" i="3"/>
  <c r="AN13" i="3"/>
  <c r="AH19" i="3"/>
  <c r="AN18" i="3"/>
  <c r="AL16" i="3"/>
  <c r="AH11" i="3"/>
  <c r="AJ19" i="3"/>
  <c r="AK19" i="3"/>
  <c r="AL11" i="3"/>
  <c r="AK13" i="3"/>
  <c r="AH15" i="3"/>
  <c r="AH13" i="3"/>
  <c r="AG12" i="3"/>
  <c r="AN14" i="3"/>
  <c r="AK11" i="3"/>
  <c r="AK17" i="3"/>
  <c r="AJ13" i="3"/>
  <c r="AJ17" i="3"/>
  <c r="AH14" i="3"/>
  <c r="AG14" i="3"/>
  <c r="AI18" i="3"/>
  <c r="AM19" i="3"/>
  <c r="AN17" i="3"/>
  <c r="AL15" i="3"/>
  <c r="AH16" i="3"/>
  <c r="AK16" i="3"/>
  <c r="AM18" i="3"/>
  <c r="AI17" i="3"/>
  <c r="AI14" i="3"/>
  <c r="T34" i="3" s="1"/>
  <c r="AH17" i="3"/>
  <c r="AL13" i="3"/>
  <c r="AI13" i="3"/>
  <c r="AJ16" i="3"/>
  <c r="AI15" i="3"/>
  <c r="AK15" i="3"/>
  <c r="AI12" i="3"/>
  <c r="L4" i="3"/>
  <c r="L18" i="4" s="1"/>
  <c r="AM16" i="3"/>
  <c r="AL17" i="3"/>
  <c r="AM12" i="3"/>
  <c r="AM13" i="3"/>
  <c r="AM15" i="3"/>
  <c r="AG15" i="3"/>
  <c r="AM17" i="3"/>
  <c r="AN12" i="3"/>
  <c r="AL12" i="3"/>
  <c r="AG13" i="3"/>
  <c r="AG17" i="3"/>
  <c r="AH12" i="3"/>
  <c r="AL14" i="3"/>
  <c r="AM14" i="3"/>
  <c r="AH18" i="3"/>
  <c r="M3" i="3"/>
  <c r="M17" i="4" s="1"/>
  <c r="I47" i="3"/>
  <c r="I44" i="3"/>
  <c r="I46" i="3"/>
  <c r="I48" i="3"/>
  <c r="I45" i="3"/>
  <c r="D43" i="3"/>
  <c r="H40" i="3"/>
  <c r="M4" i="3"/>
  <c r="AN9" i="5" s="1"/>
  <c r="AD16" i="3"/>
  <c r="W14" i="3"/>
  <c r="AA14" i="3"/>
  <c r="AB14" i="3"/>
  <c r="AC17" i="3"/>
  <c r="Z11" i="3"/>
  <c r="X17" i="3"/>
  <c r="W16" i="3"/>
  <c r="Y14" i="3"/>
  <c r="X13" i="3"/>
  <c r="X19" i="3"/>
  <c r="X18" i="3"/>
  <c r="AA12" i="3"/>
  <c r="Y13" i="3"/>
  <c r="Y16" i="3"/>
  <c r="Y17" i="3"/>
  <c r="AD13" i="3"/>
  <c r="AD11" i="3"/>
  <c r="AA13" i="3"/>
  <c r="AC19" i="3"/>
  <c r="AB15" i="3"/>
  <c r="AA19" i="3"/>
  <c r="Z17" i="3"/>
  <c r="Z14" i="3"/>
  <c r="Y15" i="3"/>
  <c r="W18" i="3"/>
  <c r="AA15" i="3"/>
  <c r="AB19" i="3"/>
  <c r="AC18" i="3"/>
  <c r="AA18" i="3"/>
  <c r="AA11" i="3"/>
  <c r="Z18" i="3"/>
  <c r="AC14" i="3"/>
  <c r="AB18" i="3"/>
  <c r="AC16" i="3"/>
  <c r="Y19" i="3"/>
  <c r="AD15" i="3"/>
  <c r="AD17" i="3"/>
  <c r="Y18" i="3"/>
  <c r="AD18" i="3"/>
  <c r="X16" i="3"/>
  <c r="AD12" i="3"/>
  <c r="W11" i="3"/>
  <c r="AB12" i="3"/>
  <c r="Z13" i="3"/>
  <c r="AB17" i="3"/>
  <c r="AC12" i="3"/>
  <c r="W17" i="3"/>
  <c r="AC13" i="3"/>
  <c r="Z15" i="3"/>
  <c r="Z16" i="3"/>
  <c r="AC15" i="3"/>
  <c r="AA17" i="3"/>
  <c r="AB16" i="3"/>
  <c r="AD19" i="3"/>
  <c r="W12" i="3"/>
  <c r="AD14" i="3"/>
  <c r="Y11" i="3"/>
  <c r="AJ12" i="3"/>
  <c r="U34" i="3" s="1"/>
  <c r="L3" i="3"/>
  <c r="L17" i="4" s="1"/>
  <c r="Z19" i="3"/>
  <c r="W19" i="3"/>
  <c r="AB13" i="3"/>
  <c r="AA16" i="3"/>
  <c r="Y12" i="3"/>
  <c r="W15" i="3"/>
  <c r="X11" i="3"/>
  <c r="AB11" i="3"/>
  <c r="X12" i="3"/>
  <c r="AC11" i="3"/>
  <c r="W13" i="3"/>
  <c r="X14" i="3"/>
  <c r="X15" i="3"/>
  <c r="O6" i="3"/>
  <c r="U7" i="3"/>
  <c r="D25" i="3"/>
  <c r="G25" i="3"/>
  <c r="H32" i="3"/>
  <c r="O49" i="4" s="1"/>
  <c r="C28" i="3"/>
  <c r="J45" i="4" s="1"/>
  <c r="M28" i="3"/>
  <c r="T45" i="4" s="1"/>
  <c r="N32" i="3"/>
  <c r="U49" i="4" s="1"/>
  <c r="H28" i="3"/>
  <c r="O45" i="4" s="1"/>
  <c r="L25" i="3"/>
  <c r="K32" i="3"/>
  <c r="R49" i="4" s="1"/>
  <c r="M25" i="3"/>
  <c r="E32" i="3"/>
  <c r="L49" i="4" s="1"/>
  <c r="I25" i="3"/>
  <c r="I28" i="3"/>
  <c r="P45" i="4" s="1"/>
  <c r="H25" i="3"/>
  <c r="I32" i="3"/>
  <c r="P49" i="4" s="1"/>
  <c r="F28" i="3"/>
  <c r="M45" i="4" s="1"/>
  <c r="L28" i="3"/>
  <c r="S45" i="4" s="1"/>
  <c r="D28" i="3"/>
  <c r="K45" i="4" s="1"/>
  <c r="N6" i="3"/>
  <c r="L32" i="3"/>
  <c r="S49" i="4" s="1"/>
  <c r="F32" i="3"/>
  <c r="M49" i="4" s="1"/>
  <c r="N28" i="3"/>
  <c r="U45" i="4" s="1"/>
  <c r="C25" i="3"/>
  <c r="AA24" i="3"/>
  <c r="AB24" i="3" s="1"/>
  <c r="E28" i="3"/>
  <c r="L45" i="4" s="1"/>
  <c r="N25" i="3"/>
  <c r="C32" i="3"/>
  <c r="J49" i="4" s="1"/>
  <c r="J32" i="3"/>
  <c r="Q49" i="4" s="1"/>
  <c r="G32" i="3"/>
  <c r="N49" i="4" s="1"/>
  <c r="J25" i="3"/>
  <c r="K28" i="3"/>
  <c r="R45" i="4" s="1"/>
  <c r="G28" i="3"/>
  <c r="N45" i="4" s="1"/>
  <c r="E25" i="3"/>
  <c r="M32" i="3"/>
  <c r="T49" i="4" s="1"/>
  <c r="D32" i="3"/>
  <c r="K49" i="4" s="1"/>
  <c r="F25" i="3"/>
  <c r="J28" i="3"/>
  <c r="Q45" i="4" s="1"/>
  <c r="K25" i="3"/>
  <c r="I20" i="3"/>
  <c r="P37" i="4" s="1"/>
  <c r="X34" i="3"/>
  <c r="M20" i="3"/>
  <c r="T37" i="4" s="1"/>
  <c r="K20" i="3"/>
  <c r="R37" i="4" s="1"/>
  <c r="F20" i="3"/>
  <c r="M37" i="4" s="1"/>
  <c r="F13" i="3"/>
  <c r="C16" i="3"/>
  <c r="J33" i="4" s="1"/>
  <c r="D20" i="3"/>
  <c r="K37" i="4" s="1"/>
  <c r="N20" i="3"/>
  <c r="U37" i="4" s="1"/>
  <c r="L6" i="3"/>
  <c r="G16" i="3"/>
  <c r="N33" i="4" s="1"/>
  <c r="D13" i="3"/>
  <c r="C13" i="3"/>
  <c r="E16" i="3"/>
  <c r="L33" i="4" s="1"/>
  <c r="H13" i="3"/>
  <c r="F16" i="3"/>
  <c r="M33" i="4" s="1"/>
  <c r="L13" i="3"/>
  <c r="K13" i="3"/>
  <c r="S34" i="3"/>
  <c r="J13" i="3"/>
  <c r="N16" i="3"/>
  <c r="U33" i="4" s="1"/>
  <c r="R34" i="3"/>
  <c r="E20" i="3"/>
  <c r="L37" i="4" s="1"/>
  <c r="I13" i="3"/>
  <c r="D16" i="3"/>
  <c r="K33" i="4" s="1"/>
  <c r="C20" i="3"/>
  <c r="J37" i="4" s="1"/>
  <c r="G13" i="3"/>
  <c r="K16" i="3"/>
  <c r="R33" i="4" s="1"/>
  <c r="M13" i="3"/>
  <c r="J16" i="3"/>
  <c r="Q33" i="4" s="1"/>
  <c r="Y34" i="3"/>
  <c r="L16" i="3"/>
  <c r="S33" i="4" s="1"/>
  <c r="L20" i="3"/>
  <c r="S37" i="4" s="1"/>
  <c r="J20" i="3"/>
  <c r="Q37" i="4" s="1"/>
  <c r="G20" i="3"/>
  <c r="N37" i="4" s="1"/>
  <c r="H16" i="3"/>
  <c r="O33" i="4" s="1"/>
  <c r="M16" i="3"/>
  <c r="T33" i="4" s="1"/>
  <c r="H20" i="3"/>
  <c r="O37" i="4" s="1"/>
  <c r="I16" i="3"/>
  <c r="P33" i="4" s="1"/>
  <c r="N13" i="3"/>
  <c r="Q24" i="3"/>
  <c r="R24" i="3" s="1"/>
  <c r="E13" i="3"/>
  <c r="M6" i="3"/>
  <c r="S7" i="3"/>
  <c r="W34" i="3" l="1"/>
  <c r="AH25" i="5"/>
  <c r="AN20" i="5" s="1"/>
  <c r="AK9" i="5"/>
  <c r="X9" i="5"/>
  <c r="H43" i="3"/>
  <c r="I40" i="3"/>
  <c r="D48" i="3"/>
  <c r="D44" i="3"/>
  <c r="D47" i="3"/>
  <c r="D46" i="3"/>
  <c r="D45" i="3"/>
  <c r="M18" i="4"/>
  <c r="U30" i="3"/>
  <c r="Y30" i="3"/>
  <c r="V30" i="3"/>
  <c r="S30" i="3"/>
  <c r="X30" i="3"/>
  <c r="T30" i="3"/>
  <c r="R30" i="3"/>
  <c r="W30" i="3"/>
  <c r="U9" i="5"/>
  <c r="Q25" i="5"/>
  <c r="L20" i="5" s="1"/>
  <c r="H36" i="4"/>
  <c r="H56" i="4"/>
  <c r="H48" i="4"/>
  <c r="H44" i="4"/>
  <c r="H32" i="4"/>
  <c r="H55" i="4"/>
  <c r="C14" i="3"/>
  <c r="J31" i="4" s="1"/>
  <c r="L14" i="3"/>
  <c r="S31" i="4" s="1"/>
  <c r="J14" i="3"/>
  <c r="Q31" i="4" s="1"/>
  <c r="N14" i="3"/>
  <c r="U31" i="4" s="1"/>
  <c r="I14" i="3"/>
  <c r="P31" i="4" s="1"/>
  <c r="F14" i="3"/>
  <c r="M31" i="4" s="1"/>
  <c r="G14" i="3"/>
  <c r="N31" i="4" s="1"/>
  <c r="M14" i="3"/>
  <c r="T31" i="4" s="1"/>
  <c r="K14" i="3"/>
  <c r="R31" i="4" s="1"/>
  <c r="E14" i="3"/>
  <c r="L31" i="4" s="1"/>
  <c r="D14" i="3"/>
  <c r="K31" i="4" s="1"/>
  <c r="H14" i="3"/>
  <c r="O31" i="4" s="1"/>
  <c r="M30" i="4"/>
  <c r="R42" i="4"/>
  <c r="Q42" i="4"/>
  <c r="O42" i="4"/>
  <c r="M20" i="4"/>
  <c r="X13" i="5"/>
  <c r="K30" i="4"/>
  <c r="T42" i="4"/>
  <c r="N42" i="4"/>
  <c r="U42" i="4"/>
  <c r="U30" i="4"/>
  <c r="N30" i="4"/>
  <c r="O30" i="4"/>
  <c r="L42" i="4"/>
  <c r="K42" i="4"/>
  <c r="P30" i="4"/>
  <c r="J30" i="4"/>
  <c r="L30" i="4"/>
  <c r="R30" i="4"/>
  <c r="P42" i="4"/>
  <c r="S24" i="3"/>
  <c r="R32" i="3"/>
  <c r="R27" i="3"/>
  <c r="R25" i="3"/>
  <c r="T30" i="4"/>
  <c r="S30" i="4"/>
  <c r="L20" i="4"/>
  <c r="H29" i="4" s="1"/>
  <c r="U13" i="5"/>
  <c r="AB27" i="3"/>
  <c r="AC24" i="3"/>
  <c r="AB25" i="3"/>
  <c r="AB32" i="3"/>
  <c r="S42" i="4"/>
  <c r="N26" i="3"/>
  <c r="U43" i="4" s="1"/>
  <c r="L26" i="3"/>
  <c r="S43" i="4" s="1"/>
  <c r="J26" i="3"/>
  <c r="Q43" i="4" s="1"/>
  <c r="F26" i="3"/>
  <c r="M43" i="4" s="1"/>
  <c r="D26" i="3"/>
  <c r="K43" i="4" s="1"/>
  <c r="I26" i="3"/>
  <c r="P43" i="4" s="1"/>
  <c r="E26" i="3"/>
  <c r="L43" i="4" s="1"/>
  <c r="K26" i="3"/>
  <c r="R43" i="4" s="1"/>
  <c r="M26" i="3"/>
  <c r="T43" i="4" s="1"/>
  <c r="H26" i="3"/>
  <c r="O43" i="4" s="1"/>
  <c r="G26" i="3"/>
  <c r="N43" i="4" s="1"/>
  <c r="C26" i="3"/>
  <c r="J43" i="4" s="1"/>
  <c r="M42" i="4"/>
  <c r="U14" i="5"/>
  <c r="N20" i="4"/>
  <c r="H41" i="4" s="1"/>
  <c r="Q30" i="4"/>
  <c r="J42" i="4"/>
  <c r="X14" i="5"/>
  <c r="O20" i="4"/>
  <c r="J40" i="3" l="1"/>
  <c r="E43" i="3"/>
  <c r="H45" i="3"/>
  <c r="H47" i="3"/>
  <c r="H44" i="3"/>
  <c r="H46" i="3"/>
  <c r="H48" i="3"/>
  <c r="G12" i="3"/>
  <c r="N29" i="4" s="1"/>
  <c r="H12" i="3"/>
  <c r="O29" i="4" s="1"/>
  <c r="Y28" i="3"/>
  <c r="Y33" i="3"/>
  <c r="T24" i="3"/>
  <c r="S32" i="3"/>
  <c r="S25" i="3"/>
  <c r="F12" i="3" s="1"/>
  <c r="M29" i="4" s="1"/>
  <c r="S27" i="3"/>
  <c r="AI33" i="3"/>
  <c r="H24" i="3"/>
  <c r="O41" i="4" s="1"/>
  <c r="G24" i="3"/>
  <c r="N41" i="4" s="1"/>
  <c r="AI28" i="3"/>
  <c r="AC25" i="3"/>
  <c r="F24" i="3" s="1"/>
  <c r="M41" i="4" s="1"/>
  <c r="AC32" i="3"/>
  <c r="AD24" i="3"/>
  <c r="AC27" i="3"/>
  <c r="E45" i="3" l="1"/>
  <c r="E44" i="3"/>
  <c r="E48" i="3"/>
  <c r="E47" i="3"/>
  <c r="E46" i="3"/>
  <c r="J43" i="3"/>
  <c r="K40" i="3"/>
  <c r="K43" i="3" s="1"/>
  <c r="AH28" i="3"/>
  <c r="AD32" i="3"/>
  <c r="AD27" i="3"/>
  <c r="AE24" i="3"/>
  <c r="AD25" i="3"/>
  <c r="X28" i="3"/>
  <c r="T32" i="3"/>
  <c r="T27" i="3"/>
  <c r="T25" i="3"/>
  <c r="U24" i="3"/>
  <c r="X33" i="3"/>
  <c r="AH33" i="3"/>
  <c r="K44" i="3" l="1"/>
  <c r="K45" i="3"/>
  <c r="K48" i="3"/>
  <c r="K47" i="3"/>
  <c r="K46" i="3"/>
  <c r="J48" i="3"/>
  <c r="J46" i="3"/>
  <c r="J47" i="3"/>
  <c r="J45" i="3"/>
  <c r="J44" i="3"/>
  <c r="K24" i="3"/>
  <c r="R41" i="4" s="1"/>
  <c r="J24" i="3"/>
  <c r="Q41" i="4" s="1"/>
  <c r="U32" i="3"/>
  <c r="V24" i="3"/>
  <c r="U27" i="3"/>
  <c r="U25" i="3"/>
  <c r="C12" i="3" s="1"/>
  <c r="J29" i="4" s="1"/>
  <c r="AG33" i="3"/>
  <c r="AE27" i="3"/>
  <c r="AF24" i="3"/>
  <c r="AE25" i="3"/>
  <c r="C24" i="3" s="1"/>
  <c r="J41" i="4" s="1"/>
  <c r="AE32" i="3"/>
  <c r="AG28" i="3"/>
  <c r="W28" i="3"/>
  <c r="J12" i="3"/>
  <c r="Q29" i="4" s="1"/>
  <c r="K12" i="3"/>
  <c r="R29" i="4" s="1"/>
  <c r="W33" i="3"/>
  <c r="V27" i="3" l="1"/>
  <c r="V32" i="3"/>
  <c r="V25" i="3"/>
  <c r="I12" i="3" s="1"/>
  <c r="P29" i="4" s="1"/>
  <c r="W24" i="3"/>
  <c r="AF27" i="3"/>
  <c r="AF25" i="3"/>
  <c r="I24" i="3" s="1"/>
  <c r="P41" i="4" s="1"/>
  <c r="AF32" i="3"/>
  <c r="AG24" i="3"/>
  <c r="V33" i="3"/>
  <c r="AF33" i="3"/>
  <c r="AF28" i="3"/>
  <c r="V28" i="3"/>
  <c r="AE28" i="3" l="1"/>
  <c r="AE29" i="3" s="1"/>
  <c r="C27" i="3" s="1"/>
  <c r="AF29" i="3"/>
  <c r="I27" i="3" s="1"/>
  <c r="AG32" i="3"/>
  <c r="AH24" i="3"/>
  <c r="AG25" i="3"/>
  <c r="AG27" i="3"/>
  <c r="AE33" i="3"/>
  <c r="C31" i="3" s="1"/>
  <c r="I31" i="3"/>
  <c r="U33" i="3"/>
  <c r="C19" i="3" s="1"/>
  <c r="I19" i="3"/>
  <c r="W27" i="3"/>
  <c r="X24" i="3"/>
  <c r="W32" i="3"/>
  <c r="W25" i="3"/>
  <c r="V29" i="3"/>
  <c r="I15" i="3" s="1"/>
  <c r="U28" i="3"/>
  <c r="U29" i="3" s="1"/>
  <c r="C15" i="3" s="1"/>
  <c r="P48" i="4" l="1"/>
  <c r="I33" i="3"/>
  <c r="P50" i="4" s="1"/>
  <c r="J48" i="4"/>
  <c r="C33" i="3"/>
  <c r="J50" i="4" s="1"/>
  <c r="E19" i="3"/>
  <c r="D19" i="3"/>
  <c r="T33" i="3"/>
  <c r="J32" i="4"/>
  <c r="C17" i="3"/>
  <c r="D24" i="3"/>
  <c r="K41" i="4" s="1"/>
  <c r="E24" i="3"/>
  <c r="L41" i="4" s="1"/>
  <c r="X32" i="3"/>
  <c r="Y24" i="3"/>
  <c r="X25" i="3"/>
  <c r="L12" i="3" s="1"/>
  <c r="S29" i="4" s="1"/>
  <c r="X27" i="3"/>
  <c r="AH25" i="3"/>
  <c r="L24" i="3" s="1"/>
  <c r="S41" i="4" s="1"/>
  <c r="AH27" i="3"/>
  <c r="AH32" i="3"/>
  <c r="AI24" i="3"/>
  <c r="T28" i="3"/>
  <c r="T29" i="3" s="1"/>
  <c r="W29" i="3"/>
  <c r="D31" i="3"/>
  <c r="AD33" i="3"/>
  <c r="E31" i="3"/>
  <c r="P32" i="4"/>
  <c r="I17" i="3"/>
  <c r="AD28" i="3"/>
  <c r="AD29" i="3" s="1"/>
  <c r="AG29" i="3"/>
  <c r="P36" i="4"/>
  <c r="I21" i="3"/>
  <c r="P44" i="4"/>
  <c r="I29" i="3"/>
  <c r="P46" i="4" s="1"/>
  <c r="E12" i="3"/>
  <c r="L29" i="4" s="1"/>
  <c r="D12" i="3"/>
  <c r="K29" i="4" s="1"/>
  <c r="J36" i="4"/>
  <c r="C21" i="3"/>
  <c r="J44" i="4"/>
  <c r="C29" i="3"/>
  <c r="J46" i="4" s="1"/>
  <c r="L48" i="4" l="1"/>
  <c r="E33" i="3"/>
  <c r="L50" i="4" s="1"/>
  <c r="J31" i="3"/>
  <c r="K31" i="3"/>
  <c r="X29" i="3"/>
  <c r="L15" i="3" s="1"/>
  <c r="S28" i="3"/>
  <c r="S29" i="3" s="1"/>
  <c r="F15" i="3" s="1"/>
  <c r="K19" i="3"/>
  <c r="J19" i="3"/>
  <c r="I38" i="3"/>
  <c r="P56" i="4" s="1"/>
  <c r="AI33" i="5" s="1"/>
  <c r="P38" i="4"/>
  <c r="K48" i="4"/>
  <c r="D33" i="3"/>
  <c r="K50" i="4" s="1"/>
  <c r="K36" i="4"/>
  <c r="D21" i="3"/>
  <c r="J27" i="3"/>
  <c r="K27" i="3"/>
  <c r="AI32" i="3"/>
  <c r="AI25" i="3"/>
  <c r="AI27" i="3"/>
  <c r="E15" i="3"/>
  <c r="D15" i="3"/>
  <c r="Y25" i="3"/>
  <c r="Y27" i="3"/>
  <c r="Y32" i="3"/>
  <c r="L36" i="4"/>
  <c r="E21" i="3"/>
  <c r="J38" i="4"/>
  <c r="C38" i="3"/>
  <c r="J56" i="4" s="1"/>
  <c r="AI21" i="5" s="1"/>
  <c r="D27" i="3"/>
  <c r="E27" i="3"/>
  <c r="K15" i="3"/>
  <c r="J15" i="3"/>
  <c r="S33" i="3"/>
  <c r="F19" i="3" s="1"/>
  <c r="L19" i="3"/>
  <c r="P34" i="4"/>
  <c r="I37" i="3"/>
  <c r="P55" i="4" s="1"/>
  <c r="R33" i="5" s="1"/>
  <c r="L31" i="3"/>
  <c r="AC33" i="3"/>
  <c r="F31" i="3" s="1"/>
  <c r="AC28" i="3"/>
  <c r="AC29" i="3" s="1"/>
  <c r="F27" i="3" s="1"/>
  <c r="AH29" i="3"/>
  <c r="L27" i="3" s="1"/>
  <c r="J34" i="4"/>
  <c r="C37" i="3"/>
  <c r="J55" i="4" s="1"/>
  <c r="R21" i="5" s="1"/>
  <c r="S44" i="4" l="1"/>
  <c r="L29" i="3"/>
  <c r="S46" i="4" s="1"/>
  <c r="Q32" i="4"/>
  <c r="J17" i="3"/>
  <c r="R44" i="4"/>
  <c r="K29" i="3"/>
  <c r="R46" i="4" s="1"/>
  <c r="M44" i="4"/>
  <c r="F29" i="3"/>
  <c r="M46" i="4" s="1"/>
  <c r="R32" i="4"/>
  <c r="K17" i="3"/>
  <c r="Q44" i="4"/>
  <c r="J29" i="3"/>
  <c r="Q46" i="4" s="1"/>
  <c r="M48" i="4"/>
  <c r="F33" i="3"/>
  <c r="M50" i="4" s="1"/>
  <c r="L44" i="4"/>
  <c r="E29" i="3"/>
  <c r="L46" i="4" s="1"/>
  <c r="M32" i="4"/>
  <c r="F17" i="3"/>
  <c r="R48" i="4"/>
  <c r="K33" i="3"/>
  <c r="R50" i="4" s="1"/>
  <c r="AB28" i="3"/>
  <c r="AB29" i="3" s="1"/>
  <c r="AI29" i="3"/>
  <c r="Q48" i="4"/>
  <c r="J33" i="3"/>
  <c r="Q50" i="4" s="1"/>
  <c r="L38" i="4"/>
  <c r="E38" i="3"/>
  <c r="L56" i="4" s="1"/>
  <c r="AM25" i="5" s="1"/>
  <c r="N19" i="3"/>
  <c r="M19" i="3"/>
  <c r="R33" i="3"/>
  <c r="Q36" i="4"/>
  <c r="J21" i="3"/>
  <c r="R28" i="3"/>
  <c r="R29" i="3" s="1"/>
  <c r="Y29" i="3"/>
  <c r="R36" i="4"/>
  <c r="K21" i="3"/>
  <c r="M12" i="3"/>
  <c r="T29" i="4" s="1"/>
  <c r="N12" i="3"/>
  <c r="U29" i="4" s="1"/>
  <c r="D38" i="3"/>
  <c r="K56" i="4" s="1"/>
  <c r="AK23" i="5" s="1"/>
  <c r="K38" i="4"/>
  <c r="S48" i="4"/>
  <c r="L33" i="3"/>
  <c r="S50" i="4" s="1"/>
  <c r="K44" i="4"/>
  <c r="D29" i="3"/>
  <c r="K46" i="4" s="1"/>
  <c r="K32" i="4"/>
  <c r="D17" i="3"/>
  <c r="S32" i="4"/>
  <c r="L17" i="3"/>
  <c r="L32" i="4"/>
  <c r="E17" i="3"/>
  <c r="S36" i="4"/>
  <c r="L21" i="3"/>
  <c r="N24" i="3"/>
  <c r="U41" i="4" s="1"/>
  <c r="M24" i="3"/>
  <c r="T41" i="4" s="1"/>
  <c r="M36" i="4"/>
  <c r="F21" i="3"/>
  <c r="M31" i="3"/>
  <c r="N31" i="3"/>
  <c r="AB33" i="3"/>
  <c r="M27" i="3" l="1"/>
  <c r="N27" i="3"/>
  <c r="M38" i="4"/>
  <c r="F38" i="3"/>
  <c r="M56" i="4" s="1"/>
  <c r="AO27" i="5" s="1"/>
  <c r="T36" i="4"/>
  <c r="M21" i="3"/>
  <c r="G15" i="3"/>
  <c r="H15" i="3"/>
  <c r="D37" i="3"/>
  <c r="K55" i="4" s="1"/>
  <c r="T23" i="5" s="1"/>
  <c r="K34" i="4"/>
  <c r="G19" i="3"/>
  <c r="H19" i="3"/>
  <c r="H27" i="3"/>
  <c r="G27" i="3"/>
  <c r="F37" i="3"/>
  <c r="M55" i="4" s="1"/>
  <c r="X27" i="5" s="1"/>
  <c r="M34" i="4"/>
  <c r="R34" i="4"/>
  <c r="K37" i="3"/>
  <c r="R55" i="4" s="1"/>
  <c r="N29" i="5" s="1"/>
  <c r="T48" i="4"/>
  <c r="M33" i="3"/>
  <c r="T50" i="4" s="1"/>
  <c r="S34" i="4"/>
  <c r="L37" i="3"/>
  <c r="S55" i="4" s="1"/>
  <c r="L27" i="5" s="1"/>
  <c r="Q38" i="4"/>
  <c r="J38" i="3"/>
  <c r="Q56" i="4" s="1"/>
  <c r="AG31" i="5" s="1"/>
  <c r="J37" i="3"/>
  <c r="Q55" i="4" s="1"/>
  <c r="P31" i="5" s="1"/>
  <c r="Q34" i="4"/>
  <c r="S38" i="4"/>
  <c r="L38" i="3"/>
  <c r="S56" i="4" s="1"/>
  <c r="AC27" i="5" s="1"/>
  <c r="R38" i="4"/>
  <c r="K38" i="3"/>
  <c r="R56" i="4" s="1"/>
  <c r="AE29" i="5" s="1"/>
  <c r="U36" i="4"/>
  <c r="N21" i="3"/>
  <c r="G31" i="3"/>
  <c r="H31" i="3"/>
  <c r="U48" i="4"/>
  <c r="N33" i="3"/>
  <c r="U50" i="4" s="1"/>
  <c r="L34" i="4"/>
  <c r="E37" i="3"/>
  <c r="L55" i="4" s="1"/>
  <c r="V25" i="5" s="1"/>
  <c r="N15" i="3"/>
  <c r="M15" i="3"/>
  <c r="T32" i="4" l="1"/>
  <c r="M17" i="3"/>
  <c r="N32" i="4"/>
  <c r="G17" i="3"/>
  <c r="N44" i="4"/>
  <c r="G29" i="3"/>
  <c r="N46" i="4" s="1"/>
  <c r="T38" i="4"/>
  <c r="M38" i="3"/>
  <c r="T56" i="4" s="1"/>
  <c r="AE25" i="5" s="1"/>
  <c r="N36" i="4"/>
  <c r="G21" i="3"/>
  <c r="N38" i="3"/>
  <c r="U56" i="4" s="1"/>
  <c r="AG23" i="5" s="1"/>
  <c r="U38" i="4"/>
  <c r="O36" i="4"/>
  <c r="H21" i="3"/>
  <c r="O48" i="4"/>
  <c r="H33" i="3"/>
  <c r="O50" i="4" s="1"/>
  <c r="U44" i="4"/>
  <c r="N29" i="3"/>
  <c r="U46" i="4" s="1"/>
  <c r="O32" i="4"/>
  <c r="H17" i="3"/>
  <c r="U32" i="4"/>
  <c r="N17" i="3"/>
  <c r="O44" i="4"/>
  <c r="H29" i="3"/>
  <c r="O46" i="4" s="1"/>
  <c r="N48" i="4"/>
  <c r="G33" i="3"/>
  <c r="N50" i="4" s="1"/>
  <c r="T44" i="4"/>
  <c r="M29" i="3"/>
  <c r="T46" i="4" s="1"/>
  <c r="N37" i="3" l="1"/>
  <c r="U55" i="4" s="1"/>
  <c r="P23" i="5" s="1"/>
  <c r="U34" i="4"/>
  <c r="O38" i="4"/>
  <c r="H38" i="3"/>
  <c r="O56" i="4" s="1"/>
  <c r="AK31" i="5" s="1"/>
  <c r="O34" i="4"/>
  <c r="H37" i="3"/>
  <c r="O55" i="4" s="1"/>
  <c r="T31" i="5" s="1"/>
  <c r="N34" i="4"/>
  <c r="G37" i="3"/>
  <c r="N55" i="4" s="1"/>
  <c r="V29" i="5" s="1"/>
  <c r="N38" i="4"/>
  <c r="G38" i="3"/>
  <c r="N56" i="4" s="1"/>
  <c r="AM29" i="5" s="1"/>
  <c r="M37" i="3"/>
  <c r="T55" i="4" s="1"/>
  <c r="N25" i="5" s="1"/>
  <c r="T34" i="4"/>
</calcChain>
</file>

<file path=xl/sharedStrings.xml><?xml version="1.0" encoding="utf-8"?>
<sst xmlns="http://schemas.openxmlformats.org/spreadsheetml/2006/main" count="664" uniqueCount="349">
  <si>
    <t>水星</t>
    <rPh sb="0" eb="2">
      <t>スイセイ</t>
    </rPh>
    <phoneticPr fontId="3"/>
  </si>
  <si>
    <t>11</t>
  </si>
  <si>
    <t>12</t>
  </si>
  <si>
    <t>13</t>
  </si>
  <si>
    <t>14</t>
  </si>
  <si>
    <t>15</t>
  </si>
  <si>
    <t>16</t>
  </si>
  <si>
    <t>17</t>
  </si>
  <si>
    <t>18</t>
  </si>
  <si>
    <t>19</t>
  </si>
  <si>
    <t>21</t>
  </si>
  <si>
    <t>22</t>
  </si>
  <si>
    <t>23</t>
  </si>
  <si>
    <t>24</t>
  </si>
  <si>
    <t>25</t>
  </si>
  <si>
    <t>26</t>
  </si>
  <si>
    <t>27</t>
  </si>
  <si>
    <t>28</t>
  </si>
  <si>
    <t>29</t>
  </si>
  <si>
    <t>31</t>
  </si>
  <si>
    <t>32</t>
  </si>
  <si>
    <t>33</t>
  </si>
  <si>
    <t>34</t>
  </si>
  <si>
    <t>35</t>
  </si>
  <si>
    <t>作成日</t>
    <rPh sb="0" eb="2">
      <t>サクセイ</t>
    </rPh>
    <rPh sb="2" eb="3">
      <t>ヒ</t>
    </rPh>
    <phoneticPr fontId="3"/>
  </si>
  <si>
    <t>36</t>
  </si>
  <si>
    <t>37</t>
  </si>
  <si>
    <t>38</t>
  </si>
  <si>
    <t>39</t>
  </si>
  <si>
    <t>41</t>
  </si>
  <si>
    <t>42</t>
  </si>
  <si>
    <t>43</t>
  </si>
  <si>
    <t>44</t>
  </si>
  <si>
    <t>45</t>
  </si>
  <si>
    <t>46</t>
  </si>
  <si>
    <t>47</t>
  </si>
  <si>
    <t>48</t>
  </si>
  <si>
    <t>49</t>
  </si>
  <si>
    <t>51</t>
  </si>
  <si>
    <t>52</t>
  </si>
  <si>
    <t>53</t>
  </si>
  <si>
    <t>54</t>
  </si>
  <si>
    <t>55</t>
  </si>
  <si>
    <t>56</t>
  </si>
  <si>
    <t>57</t>
  </si>
  <si>
    <t>58</t>
  </si>
  <si>
    <t>59</t>
  </si>
  <si>
    <t>61</t>
  </si>
  <si>
    <t>62</t>
  </si>
  <si>
    <t>63</t>
  </si>
  <si>
    <t>64</t>
  </si>
  <si>
    <t>65</t>
  </si>
  <si>
    <t>66</t>
  </si>
  <si>
    <t>67</t>
  </si>
  <si>
    <t>68</t>
  </si>
  <si>
    <t>69</t>
  </si>
  <si>
    <t>71</t>
  </si>
  <si>
    <t>72</t>
  </si>
  <si>
    <t>73</t>
  </si>
  <si>
    <t>74</t>
  </si>
  <si>
    <t>75</t>
  </si>
  <si>
    <t>76</t>
  </si>
  <si>
    <t>77</t>
  </si>
  <si>
    <t>78</t>
  </si>
  <si>
    <t>79</t>
  </si>
  <si>
    <t>81</t>
  </si>
  <si>
    <t>82</t>
  </si>
  <si>
    <t>83</t>
  </si>
  <si>
    <t>84</t>
  </si>
  <si>
    <t>85</t>
  </si>
  <si>
    <t>86</t>
  </si>
  <si>
    <t>87</t>
  </si>
  <si>
    <t>88</t>
  </si>
  <si>
    <t>99</t>
  </si>
  <si>
    <t>91</t>
  </si>
  <si>
    <t>92</t>
  </si>
  <si>
    <t>93</t>
  </si>
  <si>
    <t>94</t>
  </si>
  <si>
    <t>95</t>
  </si>
  <si>
    <t>96</t>
  </si>
  <si>
    <t>97</t>
  </si>
  <si>
    <t>98</t>
  </si>
  <si>
    <r>
      <t>h</t>
    </r>
    <r>
      <rPr>
        <sz val="11"/>
        <rFont val="ＭＳ Ｐゴシック"/>
        <family val="3"/>
        <charset val="128"/>
      </rPr>
      <t>inann</t>
    </r>
    <phoneticPr fontId="3"/>
  </si>
  <si>
    <t>南東4</t>
  </si>
  <si>
    <t>東3</t>
  </si>
  <si>
    <t>南西2</t>
  </si>
  <si>
    <t>北1</t>
  </si>
  <si>
    <t>南9</t>
  </si>
  <si>
    <t>北東8</t>
  </si>
  <si>
    <t>西7</t>
  </si>
  <si>
    <t>北西6</t>
  </si>
  <si>
    <t>土星</t>
    <rPh sb="0" eb="2">
      <t>ドセイ</t>
    </rPh>
    <phoneticPr fontId="3"/>
  </si>
  <si>
    <t>木星</t>
    <rPh sb="0" eb="2">
      <t>モクセイ</t>
    </rPh>
    <phoneticPr fontId="3"/>
  </si>
  <si>
    <t>金星</t>
    <rPh sb="0" eb="2">
      <t>キンセイ</t>
    </rPh>
    <phoneticPr fontId="3"/>
  </si>
  <si>
    <t>金星</t>
    <rPh sb="0" eb="2">
      <t>キンセイ</t>
    </rPh>
    <phoneticPr fontId="3"/>
  </si>
  <si>
    <t>火星</t>
    <rPh sb="0" eb="2">
      <t>カセイ</t>
    </rPh>
    <phoneticPr fontId="3"/>
  </si>
  <si>
    <t>年盤</t>
    <rPh sb="0" eb="1">
      <t>ネン</t>
    </rPh>
    <rPh sb="1" eb="2">
      <t>バン</t>
    </rPh>
    <phoneticPr fontId="3"/>
  </si>
  <si>
    <t>暗剣五黄殺</t>
    <rPh sb="0" eb="2">
      <t>アンケンサツ</t>
    </rPh>
    <rPh sb="2" eb="4">
      <t>ゴオウ</t>
    </rPh>
    <rPh sb="4" eb="5">
      <t>サツ</t>
    </rPh>
    <phoneticPr fontId="3"/>
  </si>
  <si>
    <t>南東4</t>
    <rPh sb="0" eb="2">
      <t>ナントウ</t>
    </rPh>
    <phoneticPr fontId="3"/>
  </si>
  <si>
    <t>東3</t>
    <rPh sb="0" eb="1">
      <t>ヒガシ</t>
    </rPh>
    <phoneticPr fontId="3"/>
  </si>
  <si>
    <t>南西2</t>
    <rPh sb="0" eb="2">
      <t>ナンセイ</t>
    </rPh>
    <phoneticPr fontId="3"/>
  </si>
  <si>
    <t>北1</t>
    <rPh sb="0" eb="1">
      <t>キタ</t>
    </rPh>
    <phoneticPr fontId="3"/>
  </si>
  <si>
    <t>南9</t>
    <rPh sb="0" eb="1">
      <t>ミナミ</t>
    </rPh>
    <phoneticPr fontId="3"/>
  </si>
  <si>
    <t>北東8</t>
    <rPh sb="0" eb="2">
      <t>ホクトウ</t>
    </rPh>
    <phoneticPr fontId="3"/>
  </si>
  <si>
    <t>西7</t>
    <rPh sb="0" eb="1">
      <t>ニシ</t>
    </rPh>
    <phoneticPr fontId="3"/>
  </si>
  <si>
    <t>北西6</t>
    <rPh sb="0" eb="2">
      <t>ホクセイ</t>
    </rPh>
    <phoneticPr fontId="3"/>
  </si>
  <si>
    <t>本命的殺</t>
    <rPh sb="0" eb="2">
      <t>ホンメイ</t>
    </rPh>
    <rPh sb="2" eb="3">
      <t>テキ</t>
    </rPh>
    <rPh sb="3" eb="4">
      <t>サツ</t>
    </rPh>
    <phoneticPr fontId="3"/>
  </si>
  <si>
    <t>生年月日</t>
    <rPh sb="0" eb="2">
      <t>セイネン</t>
    </rPh>
    <rPh sb="2" eb="4">
      <t>ガッピ</t>
    </rPh>
    <phoneticPr fontId="3"/>
  </si>
  <si>
    <t>調べる日</t>
    <rPh sb="0" eb="1">
      <t>シラ</t>
    </rPh>
    <rPh sb="3" eb="4">
      <t>ヒ</t>
    </rPh>
    <phoneticPr fontId="3"/>
  </si>
  <si>
    <t>年</t>
    <rPh sb="0" eb="1">
      <t>ネン</t>
    </rPh>
    <phoneticPr fontId="3"/>
  </si>
  <si>
    <t>日</t>
    <rPh sb="0" eb="1">
      <t>ヒ</t>
    </rPh>
    <phoneticPr fontId="3"/>
  </si>
  <si>
    <t>日</t>
    <rPh sb="0" eb="1">
      <t>ヒ</t>
    </rPh>
    <phoneticPr fontId="3"/>
  </si>
  <si>
    <t>日</t>
    <rPh sb="0" eb="1">
      <t>ヒ</t>
    </rPh>
    <phoneticPr fontId="3"/>
  </si>
  <si>
    <t>子</t>
    <rPh sb="0" eb="1">
      <t>ネ</t>
    </rPh>
    <phoneticPr fontId="3"/>
  </si>
  <si>
    <t>星と干支</t>
    <rPh sb="0" eb="1">
      <t>ホシ</t>
    </rPh>
    <rPh sb="2" eb="4">
      <t>エト</t>
    </rPh>
    <phoneticPr fontId="3"/>
  </si>
  <si>
    <t>九星（年）</t>
    <rPh sb="0" eb="2">
      <t>キュウセイ</t>
    </rPh>
    <rPh sb="3" eb="4">
      <t>ネン</t>
    </rPh>
    <phoneticPr fontId="3"/>
  </si>
  <si>
    <t>干支（年）</t>
    <rPh sb="0" eb="2">
      <t>エト</t>
    </rPh>
    <phoneticPr fontId="3"/>
  </si>
  <si>
    <t>九星（月）</t>
    <rPh sb="0" eb="2">
      <t>キュウセイ</t>
    </rPh>
    <rPh sb="3" eb="4">
      <t>ツキ</t>
    </rPh>
    <phoneticPr fontId="3"/>
  </si>
  <si>
    <t>干支（月）</t>
    <rPh sb="0" eb="2">
      <t>エト</t>
    </rPh>
    <rPh sb="3" eb="4">
      <t>ツキ</t>
    </rPh>
    <phoneticPr fontId="3"/>
  </si>
  <si>
    <t>子</t>
    <rPh sb="0" eb="1">
      <t>ネ</t>
    </rPh>
    <phoneticPr fontId="3"/>
  </si>
  <si>
    <t>換算干支</t>
    <rPh sb="0" eb="2">
      <t>カンザン</t>
    </rPh>
    <rPh sb="2" eb="4">
      <t>エト</t>
    </rPh>
    <phoneticPr fontId="3"/>
  </si>
  <si>
    <t>換算九星</t>
    <rPh sb="0" eb="2">
      <t>カンザン</t>
    </rPh>
    <rPh sb="2" eb="4">
      <t>キュウセイ</t>
    </rPh>
    <phoneticPr fontId="3"/>
  </si>
  <si>
    <t>一白水星</t>
    <rPh sb="0" eb="4">
      <t>イッパク</t>
    </rPh>
    <phoneticPr fontId="3"/>
  </si>
  <si>
    <t>二黒土星</t>
    <rPh sb="0" eb="4">
      <t>ジコク</t>
    </rPh>
    <phoneticPr fontId="3"/>
  </si>
  <si>
    <t>三碧木星</t>
    <rPh sb="0" eb="4">
      <t>サンペキ</t>
    </rPh>
    <phoneticPr fontId="3"/>
  </si>
  <si>
    <t>四緑木星</t>
    <rPh sb="0" eb="4">
      <t>シロク</t>
    </rPh>
    <phoneticPr fontId="3"/>
  </si>
  <si>
    <t>五黄土星</t>
    <rPh sb="0" eb="4">
      <t>ゴオウ</t>
    </rPh>
    <phoneticPr fontId="3"/>
  </si>
  <si>
    <t>六白金星</t>
    <rPh sb="0" eb="4">
      <t>ロッパク</t>
    </rPh>
    <phoneticPr fontId="3"/>
  </si>
  <si>
    <t>七赤金星</t>
    <rPh sb="0" eb="4">
      <t>シチセキ</t>
    </rPh>
    <phoneticPr fontId="3"/>
  </si>
  <si>
    <t>八白土星</t>
    <rPh sb="0" eb="4">
      <t>ハッパク</t>
    </rPh>
    <phoneticPr fontId="3"/>
  </si>
  <si>
    <t>九紫火星</t>
    <rPh sb="0" eb="4">
      <t>キュウシ</t>
    </rPh>
    <phoneticPr fontId="3"/>
  </si>
  <si>
    <t>生まれ</t>
    <rPh sb="0" eb="1">
      <t>ウ</t>
    </rPh>
    <phoneticPr fontId="3"/>
  </si>
  <si>
    <t>回座する☆</t>
    <rPh sb="0" eb="1">
      <t>カイ</t>
    </rPh>
    <rPh sb="1" eb="2">
      <t>ザ</t>
    </rPh>
    <phoneticPr fontId="3"/>
  </si>
  <si>
    <t>三合と破</t>
    <rPh sb="0" eb="2">
      <t>サンゴウ</t>
    </rPh>
    <rPh sb="3" eb="4">
      <t>ハ</t>
    </rPh>
    <phoneticPr fontId="3"/>
  </si>
  <si>
    <t>本命殺的殺</t>
    <rPh sb="0" eb="2">
      <t>ホンメイ</t>
    </rPh>
    <rPh sb="2" eb="3">
      <t>サツ</t>
    </rPh>
    <rPh sb="3" eb="4">
      <t>テキ</t>
    </rPh>
    <rPh sb="4" eb="5">
      <t>サツ</t>
    </rPh>
    <phoneticPr fontId="3"/>
  </si>
  <si>
    <t>相剋</t>
    <rPh sb="0" eb="1">
      <t>ソウ</t>
    </rPh>
    <rPh sb="1" eb="2">
      <t>コク</t>
    </rPh>
    <phoneticPr fontId="3"/>
  </si>
  <si>
    <t>判定</t>
    <rPh sb="0" eb="2">
      <t>ハンテイ</t>
    </rPh>
    <phoneticPr fontId="3"/>
  </si>
  <si>
    <t>九星回座</t>
    <rPh sb="0" eb="2">
      <t>キュウセイ</t>
    </rPh>
    <rPh sb="2" eb="3">
      <t>カイ</t>
    </rPh>
    <rPh sb="3" eb="4">
      <t>ザ</t>
    </rPh>
    <phoneticPr fontId="3"/>
  </si>
  <si>
    <t>的殺</t>
    <rPh sb="0" eb="1">
      <t>テキ</t>
    </rPh>
    <rPh sb="1" eb="2">
      <t>サツ</t>
    </rPh>
    <phoneticPr fontId="3"/>
  </si>
  <si>
    <t>午</t>
  </si>
  <si>
    <t>亥</t>
  </si>
  <si>
    <t>未</t>
  </si>
  <si>
    <t>申</t>
  </si>
  <si>
    <t>酉</t>
  </si>
  <si>
    <t>戌</t>
  </si>
  <si>
    <t>丑</t>
  </si>
  <si>
    <t>寅</t>
  </si>
  <si>
    <t>卯</t>
  </si>
  <si>
    <t>辰</t>
  </si>
  <si>
    <t>巳</t>
  </si>
  <si>
    <t>月</t>
    <rPh sb="0" eb="1">
      <t>ツキ</t>
    </rPh>
    <phoneticPr fontId="3"/>
  </si>
  <si>
    <t>東</t>
    <rPh sb="0" eb="1">
      <t>ヒガシ</t>
    </rPh>
    <phoneticPr fontId="3"/>
  </si>
  <si>
    <t>北</t>
    <rPh sb="0" eb="1">
      <t>キタ</t>
    </rPh>
    <phoneticPr fontId="3"/>
  </si>
  <si>
    <t>南</t>
    <rPh sb="0" eb="1">
      <t>ミナミ</t>
    </rPh>
    <phoneticPr fontId="3"/>
  </si>
  <si>
    <t>西</t>
    <rPh sb="0" eb="1">
      <t>ニシ</t>
    </rPh>
    <phoneticPr fontId="3"/>
  </si>
  <si>
    <t>坎宮</t>
    <phoneticPr fontId="3"/>
  </si>
  <si>
    <t>艮宮</t>
    <rPh sb="0" eb="2">
      <t>ゴングウ</t>
    </rPh>
    <phoneticPr fontId="3"/>
  </si>
  <si>
    <t>震宮</t>
    <rPh sb="0" eb="1">
      <t>シン</t>
    </rPh>
    <rPh sb="1" eb="2">
      <t>グウ</t>
    </rPh>
    <phoneticPr fontId="3"/>
  </si>
  <si>
    <t>巽宮</t>
    <rPh sb="0" eb="1">
      <t>タツミ</t>
    </rPh>
    <rPh sb="1" eb="2">
      <t>グウ</t>
    </rPh>
    <phoneticPr fontId="3"/>
  </si>
  <si>
    <t>離宮</t>
    <rPh sb="0" eb="1">
      <t>リ</t>
    </rPh>
    <rPh sb="1" eb="2">
      <t>グウ</t>
    </rPh>
    <phoneticPr fontId="3"/>
  </si>
  <si>
    <t>坤宮</t>
    <rPh sb="0" eb="1">
      <t>コン</t>
    </rPh>
    <rPh sb="1" eb="2">
      <t>グウ</t>
    </rPh>
    <phoneticPr fontId="3"/>
  </si>
  <si>
    <t>兌宮</t>
    <rPh sb="0" eb="1">
      <t>ダ</t>
    </rPh>
    <rPh sb="1" eb="2">
      <t>グウ</t>
    </rPh>
    <phoneticPr fontId="3"/>
  </si>
  <si>
    <t>乾宮</t>
    <rPh sb="0" eb="1">
      <t>ケン</t>
    </rPh>
    <rPh sb="1" eb="2">
      <t>グウ</t>
    </rPh>
    <phoneticPr fontId="3"/>
  </si>
  <si>
    <t>北北東</t>
    <rPh sb="0" eb="3">
      <t>ホクホクトウ</t>
    </rPh>
    <phoneticPr fontId="3"/>
  </si>
  <si>
    <t>東北東</t>
    <rPh sb="0" eb="3">
      <t>トウホクトウ</t>
    </rPh>
    <phoneticPr fontId="3"/>
  </si>
  <si>
    <t>東南東</t>
    <rPh sb="0" eb="3">
      <t>トウナントウ</t>
    </rPh>
    <phoneticPr fontId="3"/>
  </si>
  <si>
    <t>南南東</t>
    <rPh sb="0" eb="3">
      <t>ナンナントウ</t>
    </rPh>
    <phoneticPr fontId="3"/>
  </si>
  <si>
    <t>南南西</t>
    <rPh sb="0" eb="3">
      <t>ナンナンセイ</t>
    </rPh>
    <phoneticPr fontId="3"/>
  </si>
  <si>
    <t>西南西</t>
    <rPh sb="0" eb="3">
      <t>セイナンセイ</t>
    </rPh>
    <phoneticPr fontId="3"/>
  </si>
  <si>
    <t>西北西</t>
    <rPh sb="0" eb="3">
      <t>セイホクセイ</t>
    </rPh>
    <phoneticPr fontId="3"/>
  </si>
  <si>
    <t>北北西</t>
    <rPh sb="0" eb="3">
      <t>ホクホクセイ</t>
    </rPh>
    <phoneticPr fontId="3"/>
  </si>
  <si>
    <t>345~15</t>
    <phoneticPr fontId="3"/>
  </si>
  <si>
    <t>15~45</t>
    <phoneticPr fontId="3"/>
  </si>
  <si>
    <t>45~75</t>
    <phoneticPr fontId="3"/>
  </si>
  <si>
    <t>75~105</t>
    <phoneticPr fontId="3"/>
  </si>
  <si>
    <t>105~135</t>
    <phoneticPr fontId="3"/>
  </si>
  <si>
    <t>135~165</t>
    <phoneticPr fontId="3"/>
  </si>
  <si>
    <t>165~195</t>
    <phoneticPr fontId="3"/>
  </si>
  <si>
    <t>195~225</t>
    <phoneticPr fontId="3"/>
  </si>
  <si>
    <t>225~255</t>
    <phoneticPr fontId="3"/>
  </si>
  <si>
    <t>255~285</t>
    <phoneticPr fontId="3"/>
  </si>
  <si>
    <t>285~315</t>
    <phoneticPr fontId="3"/>
  </si>
  <si>
    <t>315~345</t>
    <phoneticPr fontId="3"/>
  </si>
  <si>
    <t>本命殺</t>
    <rPh sb="0" eb="2">
      <t>ホンメイ</t>
    </rPh>
    <rPh sb="2" eb="3">
      <t>サツ</t>
    </rPh>
    <phoneticPr fontId="3"/>
  </si>
  <si>
    <t>R</t>
    <phoneticPr fontId="3"/>
  </si>
  <si>
    <t>S</t>
    <phoneticPr fontId="3"/>
  </si>
  <si>
    <t>T</t>
    <phoneticPr fontId="3"/>
  </si>
  <si>
    <t>U</t>
    <phoneticPr fontId="3"/>
  </si>
  <si>
    <t>V</t>
    <phoneticPr fontId="3"/>
  </si>
  <si>
    <t>W</t>
    <phoneticPr fontId="3"/>
  </si>
  <si>
    <t>X</t>
    <phoneticPr fontId="3"/>
  </si>
  <si>
    <t>Y</t>
    <phoneticPr fontId="3"/>
  </si>
  <si>
    <t>89</t>
  </si>
  <si>
    <t>日付はここ</t>
    <rPh sb="0" eb="2">
      <t>ヒヅケ</t>
    </rPh>
    <phoneticPr fontId="3"/>
  </si>
  <si>
    <t>↓</t>
    <phoneticPr fontId="3"/>
  </si>
  <si>
    <t>宮</t>
    <rPh sb="0" eb="1">
      <t>グウ</t>
    </rPh>
    <phoneticPr fontId="3"/>
  </si>
  <si>
    <t>五行相剋</t>
    <rPh sb="0" eb="2">
      <t>ゴギョウ</t>
    </rPh>
    <rPh sb="2" eb="3">
      <t>ソウ</t>
    </rPh>
    <rPh sb="3" eb="4">
      <t>コク</t>
    </rPh>
    <phoneticPr fontId="3"/>
  </si>
  <si>
    <t>生れた年</t>
    <rPh sb="0" eb="1">
      <t>ウマ</t>
    </rPh>
    <rPh sb="3" eb="4">
      <t>トシ</t>
    </rPh>
    <phoneticPr fontId="3"/>
  </si>
  <si>
    <t>盤</t>
    <rPh sb="0" eb="1">
      <t>バン</t>
    </rPh>
    <phoneticPr fontId="3"/>
  </si>
  <si>
    <t>月</t>
    <rPh sb="0" eb="1">
      <t>ゲツ</t>
    </rPh>
    <phoneticPr fontId="3"/>
  </si>
  <si>
    <t>干　支</t>
    <rPh sb="0" eb="3">
      <t>エト</t>
    </rPh>
    <phoneticPr fontId="3"/>
  </si>
  <si>
    <t>回座する☆</t>
    <rPh sb="0" eb="1">
      <t>カイ</t>
    </rPh>
    <rPh sb="1" eb="2">
      <t>ザ</t>
    </rPh>
    <phoneticPr fontId="3"/>
  </si>
  <si>
    <t>角　　度</t>
    <rPh sb="0" eb="4">
      <t>カクド</t>
    </rPh>
    <phoneticPr fontId="3"/>
  </si>
  <si>
    <t>方　　位</t>
    <rPh sb="0" eb="4">
      <t>ホウイ</t>
    </rPh>
    <phoneticPr fontId="3"/>
  </si>
  <si>
    <t>判　　定</t>
    <rPh sb="0" eb="4">
      <t>ハンテイ</t>
    </rPh>
    <phoneticPr fontId="3"/>
  </si>
  <si>
    <t>暗剣殺五黄殺</t>
    <rPh sb="0" eb="2">
      <t>アンケンサツ</t>
    </rPh>
    <rPh sb="2" eb="3">
      <t>サツ</t>
    </rPh>
    <rPh sb="3" eb="5">
      <t>ゴオウ</t>
    </rPh>
    <rPh sb="5" eb="6">
      <t>サツ</t>
    </rPh>
    <phoneticPr fontId="3"/>
  </si>
  <si>
    <t>生　月</t>
    <rPh sb="0" eb="1">
      <t>ウマ</t>
    </rPh>
    <rPh sb="2" eb="3">
      <t>ツキ</t>
    </rPh>
    <phoneticPr fontId="3"/>
  </si>
  <si>
    <t>生　日</t>
    <rPh sb="0" eb="1">
      <t>ウマ</t>
    </rPh>
    <rPh sb="2" eb="3">
      <t>ヒ</t>
    </rPh>
    <phoneticPr fontId="3"/>
  </si>
  <si>
    <t>調べる年</t>
    <rPh sb="0" eb="1">
      <t>シラ</t>
    </rPh>
    <rPh sb="3" eb="4">
      <t>ネン</t>
    </rPh>
    <phoneticPr fontId="3"/>
  </si>
  <si>
    <t>その月</t>
    <rPh sb="2" eb="3">
      <t>ツキ</t>
    </rPh>
    <phoneticPr fontId="3"/>
  </si>
  <si>
    <t>その日</t>
    <rPh sb="2" eb="3">
      <t>ヒ</t>
    </rPh>
    <phoneticPr fontId="3"/>
  </si>
  <si>
    <t>Aさん→</t>
    <phoneticPr fontId="3"/>
  </si>
  <si>
    <t>Bさん→</t>
    <phoneticPr fontId="3"/>
  </si>
  <si>
    <t>入力→</t>
    <rPh sb="0" eb="2">
      <t>ニュウリョク</t>
    </rPh>
    <phoneticPr fontId="3"/>
  </si>
  <si>
    <t>東</t>
    <rPh sb="0" eb="1">
      <t>ヒガシ</t>
    </rPh>
    <phoneticPr fontId="3"/>
  </si>
  <si>
    <t>75~105</t>
    <phoneticPr fontId="3"/>
  </si>
  <si>
    <t>東南東</t>
    <rPh sb="0" eb="3">
      <t>トウナントウ</t>
    </rPh>
    <phoneticPr fontId="3"/>
  </si>
  <si>
    <t>南南東</t>
    <rPh sb="0" eb="3">
      <t>ナンナントウ</t>
    </rPh>
    <phoneticPr fontId="3"/>
  </si>
  <si>
    <t>巽宮</t>
    <rPh sb="0" eb="1">
      <t>タツミ</t>
    </rPh>
    <rPh sb="1" eb="2">
      <t>グウ</t>
    </rPh>
    <phoneticPr fontId="3"/>
  </si>
  <si>
    <t>105~135</t>
    <phoneticPr fontId="3"/>
  </si>
  <si>
    <t>135~165</t>
    <phoneticPr fontId="3"/>
  </si>
  <si>
    <t>南</t>
    <rPh sb="0" eb="1">
      <t>ミナミ</t>
    </rPh>
    <phoneticPr fontId="3"/>
  </si>
  <si>
    <t>離宮</t>
    <rPh sb="0" eb="1">
      <t>リ</t>
    </rPh>
    <rPh sb="1" eb="2">
      <t>グウ</t>
    </rPh>
    <phoneticPr fontId="3"/>
  </si>
  <si>
    <t>165~195</t>
    <phoneticPr fontId="3"/>
  </si>
  <si>
    <t>AI-NAVI2007</t>
    <phoneticPr fontId="3"/>
  </si>
  <si>
    <t>今回は九星気学の特徴であるシンプルイズベストに徹し</t>
    <rPh sb="0" eb="2">
      <t>コンカイ</t>
    </rPh>
    <rPh sb="3" eb="5">
      <t>キュウセイ</t>
    </rPh>
    <rPh sb="5" eb="6">
      <t>キ</t>
    </rPh>
    <rPh sb="6" eb="7">
      <t>ガク</t>
    </rPh>
    <rPh sb="8" eb="10">
      <t>トクチョウ</t>
    </rPh>
    <rPh sb="23" eb="24">
      <t>テッ</t>
    </rPh>
    <phoneticPr fontId="3"/>
  </si>
  <si>
    <t>不要な要素を切り捨てています。</t>
    <rPh sb="0" eb="2">
      <t>フヨウ</t>
    </rPh>
    <rPh sb="3" eb="5">
      <t>ヨウソ</t>
    </rPh>
    <rPh sb="6" eb="9">
      <t>キリス</t>
    </rPh>
    <phoneticPr fontId="3"/>
  </si>
  <si>
    <t>切捨てた凶神は現在の時代の速度には不要と感じています。</t>
    <rPh sb="0" eb="2">
      <t>キリス</t>
    </rPh>
    <rPh sb="4" eb="5">
      <t>キョウ</t>
    </rPh>
    <rPh sb="5" eb="6">
      <t>ジン</t>
    </rPh>
    <rPh sb="7" eb="9">
      <t>ゲンザイ</t>
    </rPh>
    <rPh sb="10" eb="12">
      <t>ジダイ</t>
    </rPh>
    <rPh sb="13" eb="15">
      <t>ソクド</t>
    </rPh>
    <rPh sb="17" eb="19">
      <t>フヨウ</t>
    </rPh>
    <rPh sb="20" eb="21">
      <t>カン</t>
    </rPh>
    <phoneticPr fontId="3"/>
  </si>
  <si>
    <t>年盤、月盤による吉凶判定のなかで暗剣殺、五黄殺、月破、三合は生れた九星に関係なく同じですから省略しました。</t>
    <rPh sb="3" eb="4">
      <t>ゲツ</t>
    </rPh>
    <rPh sb="4" eb="5">
      <t>バン</t>
    </rPh>
    <rPh sb="8" eb="9">
      <t>キチ</t>
    </rPh>
    <rPh sb="9" eb="10">
      <t>キョウ</t>
    </rPh>
    <rPh sb="10" eb="12">
      <t>ハンテイ</t>
    </rPh>
    <rPh sb="16" eb="19">
      <t>アンケンサツ</t>
    </rPh>
    <rPh sb="20" eb="23">
      <t>ゴオウサツ</t>
    </rPh>
    <rPh sb="24" eb="25">
      <t>ゲツ</t>
    </rPh>
    <rPh sb="25" eb="26">
      <t>ハ</t>
    </rPh>
    <rPh sb="27" eb="29">
      <t>サンゴウ</t>
    </rPh>
    <rPh sb="30" eb="31">
      <t>ウマ</t>
    </rPh>
    <rPh sb="33" eb="35">
      <t>キュウセイ</t>
    </rPh>
    <rPh sb="36" eb="38">
      <t>カンケイ</t>
    </rPh>
    <rPh sb="40" eb="41">
      <t>オナ</t>
    </rPh>
    <rPh sb="46" eb="48">
      <t>ショウリャク</t>
    </rPh>
    <phoneticPr fontId="3"/>
  </si>
  <si>
    <t>方位を30度単位にしました。</t>
  </si>
  <si>
    <t>変更点：</t>
    <rPh sb="0" eb="3">
      <t>ヘンコウテン</t>
    </rPh>
    <phoneticPr fontId="3"/>
  </si>
  <si>
    <t>換算率</t>
    <rPh sb="0" eb="2">
      <t>カンザン</t>
    </rPh>
    <rPh sb="2" eb="3">
      <t>リツ</t>
    </rPh>
    <phoneticPr fontId="3"/>
  </si>
  <si>
    <t>←目的に合った数字を入力してください。</t>
    <rPh sb="1" eb="3">
      <t>モクテキ</t>
    </rPh>
    <rPh sb="4" eb="5">
      <t>ア</t>
    </rPh>
    <rPh sb="7" eb="9">
      <t>スウジ</t>
    </rPh>
    <rPh sb="10" eb="12">
      <t>ニュウリョク</t>
    </rPh>
    <phoneticPr fontId="3"/>
  </si>
  <si>
    <t>この数値は短期間ほど数値を多めに長期間ほど数値を小さめにします（0~10の間の入力）</t>
    <rPh sb="2" eb="4">
      <t>スウチ</t>
    </rPh>
    <rPh sb="5" eb="8">
      <t>タンキカン</t>
    </rPh>
    <rPh sb="10" eb="12">
      <t>スウチ</t>
    </rPh>
    <rPh sb="13" eb="14">
      <t>オオ</t>
    </rPh>
    <rPh sb="16" eb="19">
      <t>チョウキカン</t>
    </rPh>
    <rPh sb="21" eb="23">
      <t>スウチ</t>
    </rPh>
    <rPh sb="24" eb="25">
      <t>チイ</t>
    </rPh>
    <rPh sb="37" eb="38">
      <t>アイダ</t>
    </rPh>
    <rPh sb="39" eb="41">
      <t>ニュウリョク</t>
    </rPh>
    <phoneticPr fontId="3"/>
  </si>
  <si>
    <r>
      <t>引越し（その地に一生留まる場合は0~</t>
    </r>
    <r>
      <rPr>
        <sz val="11"/>
        <rFont val="ＭＳ Ｐゴシック"/>
        <family val="3"/>
        <charset val="128"/>
      </rPr>
      <t>2</t>
    </r>
    <r>
      <rPr>
        <sz val="11"/>
        <rFont val="ＭＳ Ｐゴシック"/>
        <family val="3"/>
        <charset val="128"/>
      </rPr>
      <t>、2~3年後に引越しの予定は3~5）旅行(1週間以上は6~8、1週間以内では9~10)</t>
    </r>
    <rPh sb="0" eb="2">
      <t>ヒッコ</t>
    </rPh>
    <rPh sb="6" eb="7">
      <t>チ</t>
    </rPh>
    <rPh sb="8" eb="10">
      <t>イッショウ</t>
    </rPh>
    <rPh sb="10" eb="11">
      <t>トド</t>
    </rPh>
    <rPh sb="13" eb="15">
      <t>バアイ</t>
    </rPh>
    <rPh sb="22" eb="25">
      <t>３ネンゴ</t>
    </rPh>
    <rPh sb="26" eb="28">
      <t>ヒッコ</t>
    </rPh>
    <rPh sb="30" eb="32">
      <t>ヨテイ</t>
    </rPh>
    <rPh sb="37" eb="39">
      <t>リョコウ</t>
    </rPh>
    <rPh sb="40" eb="45">
      <t>１カゲツイジョウ</t>
    </rPh>
    <rPh sb="50" eb="51">
      <t>１カゲツ</t>
    </rPh>
    <rPh sb="51" eb="53">
      <t>シュウカン</t>
    </rPh>
    <rPh sb="53" eb="55">
      <t>イナイ</t>
    </rPh>
    <phoneticPr fontId="3"/>
  </si>
  <si>
    <t>西</t>
    <rPh sb="0" eb="1">
      <t>ニシ</t>
    </rPh>
    <phoneticPr fontId="3"/>
  </si>
  <si>
    <t>東</t>
    <rPh sb="0" eb="1">
      <t>ヒガシ</t>
    </rPh>
    <phoneticPr fontId="3"/>
  </si>
  <si>
    <t>東</t>
    <rPh sb="0" eb="1">
      <t>ヒガシ</t>
    </rPh>
    <phoneticPr fontId="3"/>
  </si>
  <si>
    <t>東</t>
    <rPh sb="0" eb="1">
      <t>ヒガシ</t>
    </rPh>
    <phoneticPr fontId="3"/>
  </si>
  <si>
    <t>西</t>
    <rPh sb="0" eb="1">
      <t>ニシ</t>
    </rPh>
    <phoneticPr fontId="3"/>
  </si>
  <si>
    <t>南</t>
    <rPh sb="0" eb="1">
      <t>ミナミ</t>
    </rPh>
    <phoneticPr fontId="3"/>
  </si>
  <si>
    <t>東</t>
    <rPh sb="0" eb="1">
      <t>ヒガシ</t>
    </rPh>
    <phoneticPr fontId="3"/>
  </si>
  <si>
    <t>年盤の強さ</t>
    <rPh sb="0" eb="1">
      <t>ネン</t>
    </rPh>
    <rPh sb="1" eb="2">
      <t>バン</t>
    </rPh>
    <rPh sb="3" eb="4">
      <t>ツヨ</t>
    </rPh>
    <phoneticPr fontId="3"/>
  </si>
  <si>
    <t>月盤の強さ</t>
    <rPh sb="0" eb="1">
      <t>ゲツ</t>
    </rPh>
    <rPh sb="1" eb="2">
      <t>バン</t>
    </rPh>
    <rPh sb="3" eb="4">
      <t>ツヨ</t>
    </rPh>
    <phoneticPr fontId="3"/>
  </si>
  <si>
    <t>九星気学の方位を12等分し使用目的に合わせ使えるようにし二人同時に方位を調べられます。</t>
    <rPh sb="0" eb="2">
      <t>キュウセイ</t>
    </rPh>
    <rPh sb="2" eb="3">
      <t>キ</t>
    </rPh>
    <rPh sb="3" eb="4">
      <t>ガク</t>
    </rPh>
    <rPh sb="5" eb="7">
      <t>ホウイ</t>
    </rPh>
    <rPh sb="8" eb="11">
      <t>１２トウ</t>
    </rPh>
    <rPh sb="11" eb="12">
      <t>ブンシ</t>
    </rPh>
    <rPh sb="13" eb="15">
      <t>シヨウ</t>
    </rPh>
    <rPh sb="15" eb="17">
      <t>モクテキ</t>
    </rPh>
    <rPh sb="18" eb="19">
      <t>ア</t>
    </rPh>
    <rPh sb="21" eb="22">
      <t>ツカ</t>
    </rPh>
    <rPh sb="28" eb="30">
      <t>フタリ</t>
    </rPh>
    <rPh sb="30" eb="32">
      <t>ドウジ</t>
    </rPh>
    <rPh sb="33" eb="35">
      <t>ホウイ</t>
    </rPh>
    <rPh sb="36" eb="37">
      <t>シラ</t>
    </rPh>
    <phoneticPr fontId="3"/>
  </si>
  <si>
    <t>日</t>
    <rPh sb="0" eb="1">
      <t>ニチ</t>
    </rPh>
    <phoneticPr fontId="3"/>
  </si>
  <si>
    <t>月</t>
    <rPh sb="0" eb="1">
      <t>ツキ</t>
    </rPh>
    <phoneticPr fontId="3"/>
  </si>
  <si>
    <t>調べる日を入力してください。</t>
    <rPh sb="0" eb="1">
      <t>シラ</t>
    </rPh>
    <rPh sb="3" eb="4">
      <t>ヒ</t>
    </rPh>
    <rPh sb="5" eb="7">
      <t>ニュウリョク</t>
    </rPh>
    <phoneticPr fontId="3"/>
  </si>
  <si>
    <t>2～4年で引越しは5以下、永住予定は3以下</t>
    <rPh sb="3" eb="4">
      <t>ネン</t>
    </rPh>
    <rPh sb="5" eb="7">
      <t>ヒッコ</t>
    </rPh>
    <rPh sb="9" eb="12">
      <t>５イカ</t>
    </rPh>
    <rPh sb="13" eb="15">
      <t>エイジュウ</t>
    </rPh>
    <rPh sb="15" eb="17">
      <t>ヨテイ</t>
    </rPh>
    <rPh sb="18" eb="21">
      <t>３イカ</t>
    </rPh>
    <phoneticPr fontId="3"/>
  </si>
  <si>
    <t>生年月日を入力してください。</t>
    <rPh sb="0" eb="2">
      <t>セイネン</t>
    </rPh>
    <rPh sb="2" eb="4">
      <t>ガッピ</t>
    </rPh>
    <rPh sb="5" eb="7">
      <t>ニュウリョク</t>
    </rPh>
    <phoneticPr fontId="3"/>
  </si>
  <si>
    <t>年</t>
    <rPh sb="0" eb="1">
      <t>ネン</t>
    </rPh>
    <phoneticPr fontId="3"/>
  </si>
  <si>
    <t>年生まれ</t>
    <rPh sb="0" eb="1">
      <t>トシ</t>
    </rPh>
    <rPh sb="1" eb="2">
      <t>ウ</t>
    </rPh>
    <phoneticPr fontId="3"/>
  </si>
  <si>
    <t>年</t>
    <rPh sb="0" eb="1">
      <t>ネン</t>
    </rPh>
    <phoneticPr fontId="3"/>
  </si>
  <si>
    <t>日</t>
    <rPh sb="0" eb="1">
      <t>ニチ</t>
    </rPh>
    <phoneticPr fontId="3"/>
  </si>
  <si>
    <t>使用目的を数値で入力してください（年盤と月盤の強さの調整）</t>
    <rPh sb="0" eb="2">
      <t>シヨウ</t>
    </rPh>
    <rPh sb="2" eb="4">
      <t>モクテキ</t>
    </rPh>
    <rPh sb="5" eb="7">
      <t>スウチ</t>
    </rPh>
    <rPh sb="8" eb="10">
      <t>ニュウリョク</t>
    </rPh>
    <rPh sb="17" eb="18">
      <t>ネン</t>
    </rPh>
    <rPh sb="18" eb="19">
      <t>バン</t>
    </rPh>
    <rPh sb="20" eb="21">
      <t>ゲツ</t>
    </rPh>
    <rPh sb="21" eb="22">
      <t>バン</t>
    </rPh>
    <rPh sb="23" eb="24">
      <t>ツヨ</t>
    </rPh>
    <rPh sb="26" eb="28">
      <t>チョウセイ</t>
    </rPh>
    <phoneticPr fontId="3"/>
  </si>
  <si>
    <t>月</t>
    <rPh sb="0" eb="1">
      <t>ツキ</t>
    </rPh>
    <phoneticPr fontId="3"/>
  </si>
  <si>
    <t>←永久的に移住</t>
    <rPh sb="1" eb="3">
      <t>エイキュウ</t>
    </rPh>
    <rPh sb="3" eb="4">
      <t>テキ</t>
    </rPh>
    <rPh sb="5" eb="7">
      <t>イジュウ</t>
    </rPh>
    <phoneticPr fontId="3"/>
  </si>
  <si>
    <t>短期間の旅行</t>
    <rPh sb="0" eb="2">
      <t>タンキ</t>
    </rPh>
    <rPh sb="2" eb="3">
      <t>１シュウカン</t>
    </rPh>
    <rPh sb="4" eb="6">
      <t>リョコウ</t>
    </rPh>
    <phoneticPr fontId="3"/>
  </si>
  <si>
    <t>→</t>
    <phoneticPr fontId="3"/>
  </si>
  <si>
    <t>北東</t>
    <rPh sb="0" eb="2">
      <t>ホクトウ</t>
    </rPh>
    <phoneticPr fontId="3"/>
  </si>
  <si>
    <t>東</t>
    <rPh sb="0" eb="1">
      <t>ヒガシ</t>
    </rPh>
    <phoneticPr fontId="3"/>
  </si>
  <si>
    <t>南東</t>
    <rPh sb="0" eb="2">
      <t>ナントウ</t>
    </rPh>
    <phoneticPr fontId="3"/>
  </si>
  <si>
    <t>南</t>
    <rPh sb="0" eb="1">
      <t>ミナミ</t>
    </rPh>
    <phoneticPr fontId="3"/>
  </si>
  <si>
    <t>南西</t>
    <rPh sb="0" eb="2">
      <t>ナンセイ</t>
    </rPh>
    <phoneticPr fontId="3"/>
  </si>
  <si>
    <t>北西</t>
    <rPh sb="0" eb="2">
      <t>ホクセイ</t>
    </rPh>
    <phoneticPr fontId="3"/>
  </si>
  <si>
    <t>五行の相克</t>
    <rPh sb="0" eb="2">
      <t>ゴギョウ</t>
    </rPh>
    <rPh sb="3" eb="5">
      <t>ソウコク</t>
    </rPh>
    <phoneticPr fontId="3"/>
  </si>
  <si>
    <t>その時点での☆</t>
    <rPh sb="2" eb="4">
      <t>ジテン</t>
    </rPh>
    <phoneticPr fontId="3"/>
  </si>
  <si>
    <t>回座する☆</t>
    <rPh sb="0" eb="1">
      <t>カイ</t>
    </rPh>
    <rPh sb="1" eb="2">
      <t>ザ</t>
    </rPh>
    <phoneticPr fontId="3"/>
  </si>
  <si>
    <t>水星</t>
    <rPh sb="0" eb="2">
      <t>スイセイ</t>
    </rPh>
    <phoneticPr fontId="3"/>
  </si>
  <si>
    <t>土星</t>
    <rPh sb="0" eb="2">
      <t>ドセイ</t>
    </rPh>
    <phoneticPr fontId="3"/>
  </si>
  <si>
    <t>火星</t>
    <rPh sb="0" eb="2">
      <t>カセイ</t>
    </rPh>
    <phoneticPr fontId="3"/>
  </si>
  <si>
    <t>暗剣殺</t>
    <rPh sb="0" eb="3">
      <t>アンケンサツ</t>
    </rPh>
    <phoneticPr fontId="3"/>
  </si>
  <si>
    <t>五黄殺</t>
    <rPh sb="0" eb="3">
      <t>ゴオウサツ</t>
    </rPh>
    <phoneticPr fontId="3"/>
  </si>
  <si>
    <t>歳破</t>
    <rPh sb="0" eb="2">
      <t>サイハ</t>
    </rPh>
    <phoneticPr fontId="3"/>
  </si>
  <si>
    <t>月破</t>
    <rPh sb="0" eb="1">
      <t>ゲツ</t>
    </rPh>
    <rPh sb="1" eb="2">
      <t>ハ</t>
    </rPh>
    <phoneticPr fontId="3"/>
  </si>
  <si>
    <t>月盤</t>
    <rPh sb="0" eb="1">
      <t>ゲツ</t>
    </rPh>
    <rPh sb="1" eb="2">
      <t>バン</t>
    </rPh>
    <phoneticPr fontId="3"/>
  </si>
  <si>
    <t>三合弱</t>
    <rPh sb="0" eb="2">
      <t>サンゴウ</t>
    </rPh>
    <rPh sb="2" eb="3">
      <t>ジャク</t>
    </rPh>
    <phoneticPr fontId="3"/>
  </si>
  <si>
    <t>三合強</t>
    <rPh sb="0" eb="2">
      <t>サンゴウ</t>
    </rPh>
    <rPh sb="2" eb="3">
      <t>キョウ</t>
    </rPh>
    <phoneticPr fontId="3"/>
  </si>
  <si>
    <t>2008/12/8から</t>
    <phoneticPr fontId="3"/>
  </si>
  <si>
    <t>歳破-7→-6</t>
    <rPh sb="0" eb="2">
      <t>サイハ</t>
    </rPh>
    <phoneticPr fontId="3"/>
  </si>
  <si>
    <t>月破-7→-6</t>
    <rPh sb="0" eb="1">
      <t>ゲツ</t>
    </rPh>
    <rPh sb="1" eb="2">
      <t>ハ</t>
    </rPh>
    <phoneticPr fontId="3"/>
  </si>
  <si>
    <r>
      <t>五黄殺-9→</t>
    </r>
    <r>
      <rPr>
        <sz val="11"/>
        <rFont val="ＭＳ Ｐゴシック"/>
        <family val="3"/>
        <charset val="128"/>
      </rPr>
      <t>-</t>
    </r>
    <r>
      <rPr>
        <sz val="11"/>
        <rFont val="ＭＳ Ｐゴシック"/>
        <family val="3"/>
        <charset val="128"/>
      </rPr>
      <t>8</t>
    </r>
    <rPh sb="0" eb="3">
      <t>ゴオウサツ</t>
    </rPh>
    <phoneticPr fontId="3"/>
  </si>
  <si>
    <t>和暦→西暦</t>
    <rPh sb="0" eb="2">
      <t>ワレキ</t>
    </rPh>
    <rPh sb="3" eb="5">
      <t>セイレキ</t>
    </rPh>
    <phoneticPr fontId="3"/>
  </si>
  <si>
    <t>この方位盤は九星気学の基本的要素である暗剣殺、五黄殺、歳破、月破、本命殺、的殺（以上凶神）</t>
    <rPh sb="2" eb="4">
      <t>ホウイ</t>
    </rPh>
    <rPh sb="4" eb="5">
      <t>バン</t>
    </rPh>
    <rPh sb="6" eb="8">
      <t>キュウセイ</t>
    </rPh>
    <rPh sb="8" eb="9">
      <t>キ</t>
    </rPh>
    <rPh sb="9" eb="10">
      <t>ガク</t>
    </rPh>
    <rPh sb="11" eb="14">
      <t>キホンテキ</t>
    </rPh>
    <rPh sb="14" eb="16">
      <t>ヨウソ</t>
    </rPh>
    <rPh sb="19" eb="22">
      <t>アンケンサツ</t>
    </rPh>
    <rPh sb="23" eb="26">
      <t>ゴオウサツ</t>
    </rPh>
    <rPh sb="27" eb="29">
      <t>サイハ</t>
    </rPh>
    <rPh sb="30" eb="31">
      <t>ゲツ</t>
    </rPh>
    <rPh sb="31" eb="32">
      <t>ハ</t>
    </rPh>
    <rPh sb="33" eb="35">
      <t>ホンメイ</t>
    </rPh>
    <rPh sb="35" eb="36">
      <t>サツ</t>
    </rPh>
    <rPh sb="37" eb="38">
      <t>テキ</t>
    </rPh>
    <rPh sb="38" eb="39">
      <t>サツ</t>
    </rPh>
    <rPh sb="40" eb="42">
      <t>イジョウ</t>
    </rPh>
    <rPh sb="42" eb="43">
      <t>キョウ</t>
    </rPh>
    <rPh sb="43" eb="44">
      <t>ジン</t>
    </rPh>
    <phoneticPr fontId="3"/>
  </si>
  <si>
    <t>三合（吉神）、五行の相剋（吉凶）で判定しています。</t>
    <rPh sb="0" eb="2">
      <t>サンゴウ</t>
    </rPh>
    <rPh sb="3" eb="4">
      <t>キチ</t>
    </rPh>
    <rPh sb="4" eb="5">
      <t>ジン</t>
    </rPh>
    <rPh sb="7" eb="9">
      <t>ゴギョウ</t>
    </rPh>
    <rPh sb="10" eb="11">
      <t>ソウ</t>
    </rPh>
    <rPh sb="11" eb="12">
      <t>コク</t>
    </rPh>
    <rPh sb="13" eb="14">
      <t>キチ</t>
    </rPh>
    <rPh sb="14" eb="15">
      <t>キョウ</t>
    </rPh>
    <rPh sb="17" eb="19">
      <t>ハンテイ</t>
    </rPh>
    <phoneticPr fontId="3"/>
  </si>
  <si>
    <t>この盤の特徴は年盤杜月盤の強さを数値にて変更できる点です。</t>
    <rPh sb="2" eb="3">
      <t>バン</t>
    </rPh>
    <rPh sb="4" eb="6">
      <t>トクチョウ</t>
    </rPh>
    <rPh sb="7" eb="8">
      <t>ネン</t>
    </rPh>
    <rPh sb="8" eb="9">
      <t>バン</t>
    </rPh>
    <rPh sb="9" eb="10">
      <t>ト</t>
    </rPh>
    <rPh sb="10" eb="11">
      <t>ゲツ</t>
    </rPh>
    <rPh sb="11" eb="12">
      <t>バン</t>
    </rPh>
    <rPh sb="13" eb="14">
      <t>ツヨ</t>
    </rPh>
    <rPh sb="16" eb="18">
      <t>スウチ</t>
    </rPh>
    <rPh sb="20" eb="22">
      <t>ヘンコウ</t>
    </rPh>
    <rPh sb="25" eb="26">
      <t>テン</t>
    </rPh>
    <phoneticPr fontId="3"/>
  </si>
  <si>
    <t>9stsres!気学の占いだよ！のホームページの運星カレンダーは強さの数値は8で判定しています。</t>
    <rPh sb="8" eb="9">
      <t>キ</t>
    </rPh>
    <rPh sb="9" eb="10">
      <t>ガク</t>
    </rPh>
    <rPh sb="11" eb="12">
      <t>ウラナ</t>
    </rPh>
    <rPh sb="24" eb="25">
      <t>ウン</t>
    </rPh>
    <rPh sb="25" eb="26">
      <t>セイ</t>
    </rPh>
    <rPh sb="32" eb="33">
      <t>ツヨ</t>
    </rPh>
    <rPh sb="35" eb="37">
      <t>スウチ</t>
    </rPh>
    <rPh sb="40" eb="42">
      <t>ハンテイ</t>
    </rPh>
    <phoneticPr fontId="3"/>
  </si>
  <si>
    <t>中凶</t>
    <rPh sb="0" eb="1">
      <t>チュウ</t>
    </rPh>
    <rPh sb="1" eb="2">
      <t>キョウ</t>
    </rPh>
    <phoneticPr fontId="3"/>
  </si>
  <si>
    <t>気持ちが大きくなり、出来もしないことを引き受けたり、注意力が散漫になりやすい</t>
    <rPh sb="0" eb="2">
      <t>キモ</t>
    </rPh>
    <rPh sb="4" eb="5">
      <t>オオ</t>
    </rPh>
    <rPh sb="10" eb="12">
      <t>デキ</t>
    </rPh>
    <rPh sb="19" eb="22">
      <t>ヒキウ</t>
    </rPh>
    <rPh sb="26" eb="29">
      <t>チュウイリョク</t>
    </rPh>
    <rPh sb="30" eb="32">
      <t>サンマン</t>
    </rPh>
    <phoneticPr fontId="3"/>
  </si>
  <si>
    <t>自信過剰にならず、気持ちを引き締めることで事なきを得ます。</t>
    <rPh sb="0" eb="2">
      <t>ジシン</t>
    </rPh>
    <rPh sb="2" eb="4">
      <t>カジョウ</t>
    </rPh>
    <rPh sb="9" eb="11">
      <t>キモ</t>
    </rPh>
    <rPh sb="13" eb="16">
      <t>ヒキシ</t>
    </rPh>
    <rPh sb="21" eb="22">
      <t>コト</t>
    </rPh>
    <rPh sb="25" eb="26">
      <t>エ</t>
    </rPh>
    <phoneticPr fontId="3"/>
  </si>
  <si>
    <t>大凶</t>
    <rPh sb="0" eb="2">
      <t>ダイキョウ</t>
    </rPh>
    <phoneticPr fontId="3"/>
  </si>
  <si>
    <t>1ヶ月以上の滞在は6以上、2週間以内の旅行は8以上</t>
    <rPh sb="0" eb="5">
      <t>１カゲツイジョウ</t>
    </rPh>
    <rPh sb="6" eb="8">
      <t>タイザイ</t>
    </rPh>
    <rPh sb="9" eb="12">
      <t>６イジョウ</t>
    </rPh>
    <rPh sb="13" eb="16">
      <t>２シュウカン</t>
    </rPh>
    <rPh sb="16" eb="18">
      <t>イナイ</t>
    </rPh>
    <rPh sb="19" eb="21">
      <t>リョコウ</t>
    </rPh>
    <rPh sb="23" eb="25">
      <t>３イカ</t>
    </rPh>
    <phoneticPr fontId="3"/>
  </si>
  <si>
    <t>自己中心的考えになりやすく、自分中心の世界を作りたくなります。</t>
    <rPh sb="0" eb="2">
      <t>ジコ</t>
    </rPh>
    <rPh sb="2" eb="5">
      <t>チュウシンテキ</t>
    </rPh>
    <rPh sb="5" eb="6">
      <t>カンガ</t>
    </rPh>
    <rPh sb="14" eb="16">
      <t>ジブン</t>
    </rPh>
    <rPh sb="16" eb="18">
      <t>チュウシン</t>
    </rPh>
    <rPh sb="19" eb="21">
      <t>セカイ</t>
    </rPh>
    <rPh sb="22" eb="23">
      <t>ツク</t>
    </rPh>
    <phoneticPr fontId="3"/>
  </si>
  <si>
    <t>他人の意見を聞き入れたくなくなり、自分の都合の良い意見を尊重します。</t>
    <rPh sb="0" eb="2">
      <t>タニン</t>
    </rPh>
    <rPh sb="3" eb="5">
      <t>イケン</t>
    </rPh>
    <rPh sb="6" eb="9">
      <t>キキイ</t>
    </rPh>
    <rPh sb="17" eb="19">
      <t>ジブン</t>
    </rPh>
    <rPh sb="20" eb="22">
      <t>ツゴウ</t>
    </rPh>
    <rPh sb="23" eb="24">
      <t>ヨ</t>
    </rPh>
    <rPh sb="25" eb="27">
      <t>イケン</t>
    </rPh>
    <rPh sb="28" eb="30">
      <t>ソンチョウ</t>
    </rPh>
    <phoneticPr fontId="3"/>
  </si>
  <si>
    <t>大切な人は離れていきます。「はだかの王様」となるでしょう。</t>
    <rPh sb="0" eb="2">
      <t>タイセツ</t>
    </rPh>
    <rPh sb="3" eb="4">
      <t>ヒト</t>
    </rPh>
    <rPh sb="5" eb="6">
      <t>ハナ</t>
    </rPh>
    <rPh sb="18" eb="20">
      <t>オウサマ</t>
    </rPh>
    <phoneticPr fontId="3"/>
  </si>
  <si>
    <t>また、突発的な事故や怪我なども起きやすく注意が必要です。</t>
    <rPh sb="7" eb="9">
      <t>ジコ</t>
    </rPh>
    <rPh sb="10" eb="12">
      <t>ケガ</t>
    </rPh>
    <rPh sb="15" eb="16">
      <t>オ</t>
    </rPh>
    <rPh sb="20" eb="22">
      <t>チュウイ</t>
    </rPh>
    <rPh sb="23" eb="25">
      <t>ヒツヨウ</t>
    </rPh>
    <phoneticPr fontId="3"/>
  </si>
  <si>
    <t>注意</t>
    <rPh sb="0" eb="2">
      <t>チュウイ</t>
    </rPh>
    <phoneticPr fontId="3"/>
  </si>
  <si>
    <t>エクセル下のタブ「吉凶神判定表」をクリックすると年盤と月盤の各吉凶がわかります。</t>
    <rPh sb="4" eb="5">
      <t>シタ</t>
    </rPh>
    <rPh sb="9" eb="10">
      <t>キチ</t>
    </rPh>
    <rPh sb="10" eb="11">
      <t>キョウ</t>
    </rPh>
    <rPh sb="11" eb="12">
      <t>ジン</t>
    </rPh>
    <rPh sb="12" eb="14">
      <t>ハンテイ</t>
    </rPh>
    <rPh sb="14" eb="15">
      <t>ヒョウ</t>
    </rPh>
    <rPh sb="24" eb="25">
      <t>ネン</t>
    </rPh>
    <rPh sb="25" eb="26">
      <t>バン</t>
    </rPh>
    <rPh sb="27" eb="28">
      <t>ゲツ</t>
    </rPh>
    <rPh sb="28" eb="29">
      <t>バン</t>
    </rPh>
    <rPh sb="30" eb="31">
      <t>カク</t>
    </rPh>
    <rPh sb="31" eb="32">
      <t>キチ</t>
    </rPh>
    <rPh sb="32" eb="33">
      <t>キョウ</t>
    </rPh>
    <phoneticPr fontId="3"/>
  </si>
  <si>
    <t>所　輝美より</t>
    <rPh sb="0" eb="1">
      <t>トコロ</t>
    </rPh>
    <rPh sb="2" eb="4">
      <t>テルミ</t>
    </rPh>
    <phoneticPr fontId="3"/>
  </si>
  <si>
    <t>←</t>
    <phoneticPr fontId="3"/>
  </si>
  <si>
    <t>調べる年の星</t>
    <rPh sb="0" eb="1">
      <t>シラ</t>
    </rPh>
    <rPh sb="3" eb="4">
      <t>ネン</t>
    </rPh>
    <rPh sb="5" eb="6">
      <t>ホシ</t>
    </rPh>
    <phoneticPr fontId="3"/>
  </si>
  <si>
    <t>左側調べる人の生れ年星</t>
    <rPh sb="0" eb="2">
      <t>ヒダリガワ</t>
    </rPh>
    <rPh sb="2" eb="3">
      <t>シラ</t>
    </rPh>
    <rPh sb="5" eb="6">
      <t>ヒト</t>
    </rPh>
    <rPh sb="7" eb="8">
      <t>ウマ</t>
    </rPh>
    <rPh sb="9" eb="10">
      <t>ネン</t>
    </rPh>
    <rPh sb="10" eb="11">
      <t>ホシ</t>
    </rPh>
    <phoneticPr fontId="3"/>
  </si>
  <si>
    <t>右側調べる人の生れ年星</t>
    <rPh sb="0" eb="1">
      <t>ミギ</t>
    </rPh>
    <rPh sb="1" eb="2">
      <t>ヒダリガワ</t>
    </rPh>
    <rPh sb="2" eb="3">
      <t>シラ</t>
    </rPh>
    <rPh sb="5" eb="6">
      <t>ヒト</t>
    </rPh>
    <rPh sb="7" eb="8">
      <t>ウマ</t>
    </rPh>
    <rPh sb="9" eb="10">
      <t>ネン</t>
    </rPh>
    <rPh sb="10" eb="11">
      <t>ホシ</t>
    </rPh>
    <phoneticPr fontId="3"/>
  </si>
  <si>
    <t>調べる月の星</t>
    <rPh sb="0" eb="1">
      <t>シラ</t>
    </rPh>
    <rPh sb="3" eb="4">
      <t>ツキ</t>
    </rPh>
    <rPh sb="5" eb="6">
      <t>ホシ</t>
    </rPh>
    <phoneticPr fontId="3"/>
  </si>
  <si>
    <t>左側年月強さ設定後の判定</t>
    <rPh sb="0" eb="1">
      <t>ヒダリ</t>
    </rPh>
    <rPh sb="1" eb="2">
      <t>ガワ</t>
    </rPh>
    <rPh sb="2" eb="3">
      <t>ネン</t>
    </rPh>
    <rPh sb="3" eb="4">
      <t>ツキ</t>
    </rPh>
    <rPh sb="4" eb="5">
      <t>ツヨ</t>
    </rPh>
    <rPh sb="6" eb="8">
      <t>セッテイ</t>
    </rPh>
    <rPh sb="8" eb="9">
      <t>ゴ</t>
    </rPh>
    <rPh sb="10" eb="12">
      <t>ハンテイ</t>
    </rPh>
    <phoneticPr fontId="3"/>
  </si>
  <si>
    <t>右側年月強さ設定後の判定</t>
    <rPh sb="0" eb="2">
      <t>ミギガワ</t>
    </rPh>
    <rPh sb="2" eb="3">
      <t>ネン</t>
    </rPh>
    <rPh sb="3" eb="4">
      <t>ツキ</t>
    </rPh>
    <rPh sb="4" eb="5">
      <t>ツヨ</t>
    </rPh>
    <rPh sb="6" eb="8">
      <t>セッテイ</t>
    </rPh>
    <rPh sb="8" eb="9">
      <t>ゴ</t>
    </rPh>
    <rPh sb="10" eb="12">
      <t>ハンテイ</t>
    </rPh>
    <phoneticPr fontId="3"/>
  </si>
  <si>
    <t>五行相克24南西修正2011/3/18</t>
    <rPh sb="0" eb="2">
      <t>ゴギョウ</t>
    </rPh>
    <rPh sb="2" eb="4">
      <t>ソウコク</t>
    </rPh>
    <rPh sb="6" eb="8">
      <t>ナンセイ</t>
    </rPh>
    <rPh sb="8" eb="10">
      <t>シュウセイ</t>
    </rPh>
    <phoneticPr fontId="3"/>
  </si>
  <si>
    <t>入力→</t>
    <rPh sb="0" eb="2">
      <t>ニュウリョク</t>
    </rPh>
    <phoneticPr fontId="3"/>
  </si>
  <si>
    <t>引っ越しで使う場合の注意点</t>
    <rPh sb="0" eb="1">
      <t>ヒ</t>
    </rPh>
    <rPh sb="2" eb="3">
      <t>コ</t>
    </rPh>
    <rPh sb="5" eb="6">
      <t>ツカ</t>
    </rPh>
    <rPh sb="7" eb="9">
      <t>バアイ</t>
    </rPh>
    <rPh sb="10" eb="13">
      <t>チュウイテン</t>
    </rPh>
    <phoneticPr fontId="3"/>
  </si>
  <si>
    <t>方位よりも引っ越し先の環境が重要です。日当たりや風通しが良いこと、騒音や振動が無いこと。</t>
    <rPh sb="0" eb="2">
      <t>ホウイ</t>
    </rPh>
    <rPh sb="5" eb="6">
      <t>ヒ</t>
    </rPh>
    <rPh sb="7" eb="8">
      <t>コ</t>
    </rPh>
    <rPh sb="9" eb="10">
      <t>サキ</t>
    </rPh>
    <rPh sb="11" eb="13">
      <t>カンキョウ</t>
    </rPh>
    <rPh sb="14" eb="16">
      <t>ジュウヨウ</t>
    </rPh>
    <rPh sb="19" eb="21">
      <t>ヒア</t>
    </rPh>
    <rPh sb="24" eb="26">
      <t>カゼトオ</t>
    </rPh>
    <rPh sb="28" eb="29">
      <t>ヨ</t>
    </rPh>
    <rPh sb="33" eb="35">
      <t>ソウオン</t>
    </rPh>
    <rPh sb="36" eb="38">
      <t>シンドウ</t>
    </rPh>
    <rPh sb="39" eb="40">
      <t>ナ</t>
    </rPh>
    <phoneticPr fontId="3"/>
  </si>
  <si>
    <t>安全で生活に便利であること、ストレスを感じないこと、湿気がないことなどなど</t>
    <rPh sb="0" eb="2">
      <t>アンゼン</t>
    </rPh>
    <rPh sb="3" eb="5">
      <t>セイカツ</t>
    </rPh>
    <rPh sb="6" eb="8">
      <t>ベンリ</t>
    </rPh>
    <rPh sb="19" eb="20">
      <t>カン</t>
    </rPh>
    <rPh sb="26" eb="28">
      <t>シッケ</t>
    </rPh>
    <phoneticPr fontId="3"/>
  </si>
  <si>
    <t>方位が悪ければこの占いは陰陽五行を使った占いですから他の陰陽五行を使うこともできます。</t>
    <rPh sb="0" eb="2">
      <t>ホウイ</t>
    </rPh>
    <rPh sb="3" eb="4">
      <t>ワル</t>
    </rPh>
    <rPh sb="9" eb="10">
      <t>ウラナ</t>
    </rPh>
    <rPh sb="12" eb="14">
      <t>インヨウ</t>
    </rPh>
    <rPh sb="14" eb="16">
      <t>ゴギョウ</t>
    </rPh>
    <rPh sb="17" eb="18">
      <t>ツカ</t>
    </rPh>
    <rPh sb="20" eb="21">
      <t>ウラナ</t>
    </rPh>
    <rPh sb="26" eb="27">
      <t>タ</t>
    </rPh>
    <rPh sb="28" eb="30">
      <t>インヨウ</t>
    </rPh>
    <rPh sb="30" eb="32">
      <t>ゴギョウ</t>
    </rPh>
    <rPh sb="33" eb="34">
      <t>ツカ</t>
    </rPh>
    <phoneticPr fontId="3"/>
  </si>
  <si>
    <t>裕気取（開運で使う場合）</t>
    <rPh sb="0" eb="1">
      <t>ユウ</t>
    </rPh>
    <rPh sb="1" eb="2">
      <t>キ</t>
    </rPh>
    <rPh sb="2" eb="3">
      <t>トリ</t>
    </rPh>
    <rPh sb="4" eb="6">
      <t>カイウン</t>
    </rPh>
    <rPh sb="7" eb="8">
      <t>ツカ</t>
    </rPh>
    <rPh sb="9" eb="11">
      <t>バアイ</t>
    </rPh>
    <phoneticPr fontId="3"/>
  </si>
  <si>
    <t>吉方位でも危険なところは避けてください。</t>
    <rPh sb="0" eb="1">
      <t>キチ</t>
    </rPh>
    <rPh sb="1" eb="3">
      <t>ホウイ</t>
    </rPh>
    <rPh sb="5" eb="7">
      <t>キケン</t>
    </rPh>
    <rPh sb="12" eb="13">
      <t>サ</t>
    </rPh>
    <phoneticPr fontId="3"/>
  </si>
  <si>
    <t>気の流れの良いところ（神社仏閣や森林浴など）温泉などリラックスできるところがよいでしょう。</t>
    <rPh sb="0" eb="1">
      <t>キ</t>
    </rPh>
    <rPh sb="2" eb="3">
      <t>ナガ</t>
    </rPh>
    <rPh sb="5" eb="6">
      <t>ヨ</t>
    </rPh>
    <rPh sb="11" eb="13">
      <t>ジンジャ</t>
    </rPh>
    <rPh sb="13" eb="15">
      <t>ブッカク</t>
    </rPh>
    <rPh sb="16" eb="18">
      <t>シンリン</t>
    </rPh>
    <rPh sb="18" eb="19">
      <t>ヨク</t>
    </rPh>
    <rPh sb="22" eb="24">
      <t>オンセン</t>
    </rPh>
    <phoneticPr fontId="3"/>
  </si>
  <si>
    <t>時間にゆとりを持って現地ではゆっくりとすごぐことが大切です。</t>
    <rPh sb="0" eb="2">
      <t>ジカン</t>
    </rPh>
    <rPh sb="7" eb="8">
      <t>モ</t>
    </rPh>
    <rPh sb="10" eb="12">
      <t>ゲンチ</t>
    </rPh>
    <rPh sb="25" eb="27">
      <t>タイセツ</t>
    </rPh>
    <phoneticPr fontId="3"/>
  </si>
  <si>
    <t>●</t>
    <phoneticPr fontId="3"/>
  </si>
  <si>
    <t>日付</t>
    <rPh sb="0" eb="2">
      <t>ヒヅケ</t>
    </rPh>
    <phoneticPr fontId="23"/>
  </si>
  <si>
    <t>干支</t>
    <rPh sb="0" eb="2">
      <t>カンシ</t>
    </rPh>
    <phoneticPr fontId="23"/>
  </si>
  <si>
    <t>九星</t>
    <rPh sb="0" eb="2">
      <t>キュウセイ</t>
    </rPh>
    <phoneticPr fontId="23"/>
  </si>
  <si>
    <t>干支番号</t>
    <rPh sb="0" eb="2">
      <t>エト</t>
    </rPh>
    <rPh sb="2" eb="4">
      <t>バンゴウ</t>
    </rPh>
    <phoneticPr fontId="23"/>
  </si>
  <si>
    <t>子</t>
  </si>
  <si>
    <t>子</t>
    <rPh sb="0" eb="1">
      <t>ネ</t>
    </rPh>
    <phoneticPr fontId="3"/>
  </si>
  <si>
    <t>丑</t>
    <rPh sb="0" eb="1">
      <t>ウシ</t>
    </rPh>
    <phoneticPr fontId="3"/>
  </si>
  <si>
    <t>寅</t>
    <rPh sb="0" eb="1">
      <t>トラ</t>
    </rPh>
    <phoneticPr fontId="3"/>
  </si>
  <si>
    <r>
      <t>生れた年星がわかるが西暦の年がわからない場合は左表の右の年を代用してください。生れた月日は2月</t>
    </r>
    <r>
      <rPr>
        <sz val="11"/>
        <rFont val="ＭＳ Ｐゴシック"/>
        <family val="3"/>
        <charset val="128"/>
      </rPr>
      <t>5</t>
    </r>
    <r>
      <rPr>
        <sz val="11"/>
        <rFont val="ＭＳ Ｐゴシック"/>
        <family val="3"/>
        <charset val="128"/>
      </rPr>
      <t>日以降を使うこと。</t>
    </r>
    <rPh sb="0" eb="1">
      <t>ウマ</t>
    </rPh>
    <rPh sb="3" eb="4">
      <t>ネン</t>
    </rPh>
    <rPh sb="4" eb="5">
      <t>ホシ</t>
    </rPh>
    <rPh sb="10" eb="12">
      <t>セイレキ</t>
    </rPh>
    <rPh sb="13" eb="14">
      <t>ネン</t>
    </rPh>
    <rPh sb="20" eb="22">
      <t>バアイ</t>
    </rPh>
    <rPh sb="23" eb="24">
      <t>ヒダリ</t>
    </rPh>
    <rPh sb="24" eb="25">
      <t>ヒョウ</t>
    </rPh>
    <rPh sb="26" eb="27">
      <t>ミギ</t>
    </rPh>
    <rPh sb="28" eb="29">
      <t>ネン</t>
    </rPh>
    <rPh sb="30" eb="32">
      <t>ダイヨウ</t>
    </rPh>
    <rPh sb="39" eb="40">
      <t>ウマ</t>
    </rPh>
    <rPh sb="42" eb="43">
      <t>ツキ</t>
    </rPh>
    <rPh sb="43" eb="44">
      <t>ヒ</t>
    </rPh>
    <rPh sb="45" eb="47">
      <t>２ガツ</t>
    </rPh>
    <rPh sb="48" eb="51">
      <t>ニチイコウ</t>
    </rPh>
    <rPh sb="49" eb="51">
      <t>イコウ</t>
    </rPh>
    <rPh sb="52" eb="53">
      <t>ツカ</t>
    </rPh>
    <phoneticPr fontId="3"/>
  </si>
  <si>
    <t>60干</t>
    <rPh sb="2" eb="3">
      <t>カン</t>
    </rPh>
    <phoneticPr fontId="3"/>
  </si>
  <si>
    <t>60干→</t>
    <rPh sb="2" eb="3">
      <t>カン</t>
    </rPh>
    <phoneticPr fontId="3"/>
  </si>
  <si>
    <t>三合とは修正2014/5/13</t>
    <rPh sb="0" eb="2">
      <t>サンゴウ</t>
    </rPh>
    <rPh sb="4" eb="6">
      <t>シュウセイ</t>
    </rPh>
    <phoneticPr fontId="3"/>
  </si>
  <si>
    <t>変更する場合はこちらで修正</t>
    <rPh sb="0" eb="2">
      <t>ヘンコウ</t>
    </rPh>
    <rPh sb="4" eb="6">
      <t>バアイ</t>
    </rPh>
    <rPh sb="11" eb="13">
      <t>シュウセイ</t>
    </rPh>
    <phoneticPr fontId="3"/>
  </si>
  <si>
    <t>本命殺は-3　的殺は-1でもよいと思います</t>
    <rPh sb="0" eb="3">
      <t>ホンメイサツ</t>
    </rPh>
    <rPh sb="7" eb="9">
      <t>テキサツ</t>
    </rPh>
    <rPh sb="17" eb="18">
      <t>オモ</t>
    </rPh>
    <phoneticPr fontId="3"/>
  </si>
  <si>
    <t>二黒土星　　1980</t>
    <rPh sb="0" eb="4">
      <t>ジコクドセイ</t>
    </rPh>
    <phoneticPr fontId="3"/>
  </si>
  <si>
    <t>三碧木星　　1979</t>
    <rPh sb="0" eb="4">
      <t>サンペキモクセイ</t>
    </rPh>
    <phoneticPr fontId="3"/>
  </si>
  <si>
    <t>五黄土星　　1977</t>
    <rPh sb="0" eb="4">
      <t>ゴオウドセイ</t>
    </rPh>
    <phoneticPr fontId="3"/>
  </si>
  <si>
    <t>四緑木星　　1978</t>
    <rPh sb="0" eb="4">
      <t>シロクモクセイ</t>
    </rPh>
    <phoneticPr fontId="3"/>
  </si>
  <si>
    <t>六白金星　　1976</t>
    <rPh sb="0" eb="4">
      <t>ロッパクキンセイ</t>
    </rPh>
    <phoneticPr fontId="3"/>
  </si>
  <si>
    <t>七赤金星　　1975</t>
    <rPh sb="0" eb="4">
      <t>シチセキキンセイ</t>
    </rPh>
    <phoneticPr fontId="3"/>
  </si>
  <si>
    <t>八白土星　　1974</t>
    <rPh sb="0" eb="4">
      <t>ハッパクドセイ</t>
    </rPh>
    <phoneticPr fontId="3"/>
  </si>
  <si>
    <t>九紫火星　　1973</t>
    <rPh sb="0" eb="4">
      <t>キュウシカセイ</t>
    </rPh>
    <phoneticPr fontId="3"/>
  </si>
  <si>
    <t>一白水星　　1981</t>
    <rPh sb="0" eb="4">
      <t>イッパクスイセイ</t>
    </rPh>
    <phoneticPr fontId="3"/>
  </si>
  <si>
    <t>この表は2014年2月から2051年1月の間でしか使えません。</t>
    <rPh sb="2" eb="3">
      <t>ヒョウ</t>
    </rPh>
    <rPh sb="8" eb="9">
      <t>ネン</t>
    </rPh>
    <rPh sb="10" eb="11">
      <t>ガツ</t>
    </rPh>
    <rPh sb="17" eb="18">
      <t>ネン</t>
    </rPh>
    <rPh sb="19" eb="20">
      <t>ガツ</t>
    </rPh>
    <rPh sb="21" eb="22">
      <t>アイダ</t>
    </rPh>
    <rPh sb="25" eb="26">
      <t>ツカ</t>
    </rPh>
    <phoneticPr fontId="3"/>
  </si>
  <si>
    <t>最終修正日2021/10/10</t>
    <rPh sb="0" eb="2">
      <t>サイシュウ</t>
    </rPh>
    <rPh sb="2" eb="4">
      <t>シュウセイ</t>
    </rPh>
    <rPh sb="4" eb="5">
      <t>ビ</t>
    </rPh>
    <phoneticPr fontId="3"/>
  </si>
  <si>
    <t>★1927/1/7から2051/1/4までしか利用できません。</t>
    <rPh sb="23" eb="25">
      <t>リヨウ</t>
    </rPh>
    <phoneticPr fontId="3"/>
  </si>
  <si>
    <t>九星気学吉凶方位盤　AI-NAVI V2021</t>
    <rPh sb="0" eb="2">
      <t>キュウセイ</t>
    </rPh>
    <rPh sb="2" eb="3">
      <t>キ</t>
    </rPh>
    <rPh sb="3" eb="4">
      <t>ガク</t>
    </rPh>
    <rPh sb="4" eb="5">
      <t>キチ</t>
    </rPh>
    <rPh sb="5" eb="6">
      <t>キョウ</t>
    </rPh>
    <rPh sb="6" eb="8">
      <t>ホウイ</t>
    </rPh>
    <rPh sb="8" eb="9">
      <t>バン</t>
    </rPh>
    <phoneticPr fontId="3"/>
  </si>
  <si>
    <t>三合も弱は5　強は7でもよいかもしれません</t>
    <rPh sb="0" eb="2">
      <t>サンゴウ</t>
    </rPh>
    <rPh sb="3" eb="4">
      <t>ジャク</t>
    </rPh>
    <rPh sb="7" eb="8">
      <t>キョウ</t>
    </rPh>
    <phoneticPr fontId="3"/>
  </si>
  <si>
    <t>九星気学吉凶方位盤2014年2月から2051年1月までの間</t>
    <rPh sb="0" eb="2">
      <t>キュウセイ</t>
    </rPh>
    <rPh sb="2" eb="3">
      <t>キ</t>
    </rPh>
    <rPh sb="3" eb="4">
      <t>ガク</t>
    </rPh>
    <rPh sb="4" eb="5">
      <t>キチ</t>
    </rPh>
    <rPh sb="5" eb="6">
      <t>キョウ</t>
    </rPh>
    <rPh sb="6" eb="8">
      <t>ホウイ</t>
    </rPh>
    <rPh sb="8" eb="9">
      <t>バン</t>
    </rPh>
    <rPh sb="13" eb="14">
      <t>ネン</t>
    </rPh>
    <rPh sb="15" eb="16">
      <t>ガツ</t>
    </rPh>
    <rPh sb="22" eb="23">
      <t>ネン</t>
    </rPh>
    <rPh sb="24" eb="25">
      <t>ガツ</t>
    </rPh>
    <rPh sb="28" eb="29">
      <t>アイダ</t>
    </rPh>
    <phoneticPr fontId="3"/>
  </si>
  <si>
    <t>タブ「吉凶判定表」から暗剣殺・五黄殺・歳破・月破・本命殺・的殺・三合の強弱を変更が可能です</t>
    <rPh sb="3" eb="5">
      <t>キチキョウ</t>
    </rPh>
    <rPh sb="5" eb="8">
      <t>ハンテイヒョウ</t>
    </rPh>
    <rPh sb="11" eb="14">
      <t>アンケンサツ</t>
    </rPh>
    <rPh sb="15" eb="18">
      <t>ゴオウサツ</t>
    </rPh>
    <rPh sb="19" eb="21">
      <t>サイハ</t>
    </rPh>
    <rPh sb="22" eb="24">
      <t>ゲッパ</t>
    </rPh>
    <rPh sb="25" eb="28">
      <t>ホンメイサツ</t>
    </rPh>
    <rPh sb="29" eb="31">
      <t>テキサツ</t>
    </rPh>
    <rPh sb="32" eb="34">
      <t>サンゴウ</t>
    </rPh>
    <rPh sb="35" eb="37">
      <t>キョウジャク</t>
    </rPh>
    <rPh sb="38" eb="40">
      <t>ヘンコウ</t>
    </rPh>
    <rPh sb="41" eb="43">
      <t>カノウ</t>
    </rPh>
    <phoneticPr fontId="3"/>
  </si>
  <si>
    <t>9星気学の占いだよ! 設定値　こちらを推奨します</t>
    <rPh sb="19" eb="21">
      <t>スイショウ</t>
    </rPh>
    <phoneticPr fontId="3"/>
  </si>
  <si>
    <t>和暦から西暦を求めるには昭和は半角英数字で　S　、平成は　H　令和　Rです。年と月の区切りは同じく半角英数字で　.　ドットで区切ります。</t>
    <rPh sb="0" eb="2">
      <t>ワレキ</t>
    </rPh>
    <rPh sb="4" eb="6">
      <t>セイレキ</t>
    </rPh>
    <rPh sb="7" eb="8">
      <t>モト</t>
    </rPh>
    <rPh sb="12" eb="14">
      <t>ショウワ</t>
    </rPh>
    <rPh sb="15" eb="17">
      <t>ハンカク</t>
    </rPh>
    <rPh sb="17" eb="20">
      <t>エイスウジ</t>
    </rPh>
    <rPh sb="25" eb="27">
      <t>ヘイセイ</t>
    </rPh>
    <rPh sb="31" eb="33">
      <t>レイワ</t>
    </rPh>
    <rPh sb="38" eb="39">
      <t>ネン</t>
    </rPh>
    <rPh sb="40" eb="41">
      <t>ツキ</t>
    </rPh>
    <rPh sb="42" eb="44">
      <t>クギ</t>
    </rPh>
    <rPh sb="46" eb="47">
      <t>オナ</t>
    </rPh>
    <rPh sb="49" eb="51">
      <t>ハンカク</t>
    </rPh>
    <rPh sb="51" eb="54">
      <t>エイスウジ</t>
    </rPh>
    <rPh sb="62" eb="64">
      <t>クギ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</si>
</sst>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m/d;@"/>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color indexed="12"/>
      <name val="ＭＳ Ｐゴシック"/>
      <family val="3"/>
      <charset val="128"/>
    </font>
    <font>
      <sz val="9"/>
      <name val="ＭＳ Ｐゴシック"/>
      <family val="3"/>
      <charset val="128"/>
    </font>
    <font>
      <b/>
      <sz val="11"/>
      <name val="ＭＳ Ｐゴシック"/>
      <family val="3"/>
      <charset val="128"/>
    </font>
    <font>
      <sz val="11"/>
      <color indexed="43"/>
      <name val="ＭＳ Ｐゴシック"/>
      <family val="3"/>
      <charset val="128"/>
    </font>
    <font>
      <sz val="10"/>
      <color indexed="43"/>
      <name val="ＭＳ Ｐゴシック"/>
      <family val="3"/>
      <charset val="128"/>
    </font>
    <font>
      <sz val="8"/>
      <color indexed="43"/>
      <name val="ＭＳ Ｐゴシック"/>
      <family val="3"/>
      <charset val="128"/>
    </font>
    <font>
      <sz val="11"/>
      <color indexed="9"/>
      <name val="ＭＳ Ｐゴシック"/>
      <family val="3"/>
      <charset val="128"/>
    </font>
    <font>
      <sz val="11"/>
      <name val="ＭＳ Ｐゴシック"/>
      <family val="3"/>
      <charset val="128"/>
    </font>
    <font>
      <b/>
      <sz val="16"/>
      <color indexed="9"/>
      <name val="ＭＳ Ｐゴシック"/>
      <family val="3"/>
      <charset val="128"/>
    </font>
    <font>
      <sz val="11"/>
      <color indexed="10"/>
      <name val="ＭＳ Ｐゴシック"/>
      <family val="3"/>
      <charset val="128"/>
    </font>
    <font>
      <b/>
      <sz val="12"/>
      <name val="ＭＳ Ｐゴシック"/>
      <family val="3"/>
      <charset val="128"/>
    </font>
    <font>
      <b/>
      <sz val="11"/>
      <color indexed="9"/>
      <name val="ＭＳ Ｐゴシック"/>
      <family val="3"/>
      <charset val="128"/>
    </font>
    <font>
      <b/>
      <sz val="11"/>
      <color indexed="57"/>
      <name val="ＭＳ Ｐゴシック"/>
      <family val="3"/>
      <charset val="128"/>
    </font>
    <font>
      <sz val="11"/>
      <color indexed="18"/>
      <name val="ＭＳ Ｐゴシック"/>
      <family val="3"/>
      <charset val="128"/>
    </font>
    <font>
      <b/>
      <sz val="14"/>
      <color indexed="9"/>
      <name val="ＭＳ Ｐゴシック"/>
      <family val="3"/>
      <charset val="128"/>
    </font>
    <font>
      <sz val="12"/>
      <color indexed="9"/>
      <name val="ＭＳ Ｐゴシック"/>
      <family val="3"/>
      <charset val="128"/>
    </font>
    <font>
      <b/>
      <sz val="11"/>
      <color indexed="10"/>
      <name val="ＭＳ Ｐゴシック"/>
      <family val="3"/>
      <charset val="128"/>
    </font>
    <font>
      <sz val="6"/>
      <name val="ＭＳ Ｐゴシック"/>
      <family val="3"/>
      <charset val="128"/>
    </font>
    <font>
      <sz val="12"/>
      <color indexed="8"/>
      <name val="ＭＳ Ｐゴシック"/>
      <family val="3"/>
      <charset val="128"/>
    </font>
    <font>
      <sz val="11"/>
      <color rgb="FF00B050"/>
      <name val="ＭＳ Ｐゴシック"/>
      <family val="3"/>
      <charset val="128"/>
    </font>
    <font>
      <sz val="11"/>
      <color rgb="FF7030A0"/>
      <name val="ＭＳ Ｐゴシック"/>
      <family val="3"/>
      <charset val="128"/>
    </font>
    <font>
      <sz val="12"/>
      <color rgb="FFFFC000"/>
      <name val="ＭＳ Ｐゴシック"/>
      <family val="3"/>
      <charset val="128"/>
    </font>
    <font>
      <sz val="11"/>
      <color theme="0"/>
      <name val="ＭＳ Ｐゴシック"/>
      <family val="3"/>
      <charset val="128"/>
    </font>
  </fonts>
  <fills count="23">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12"/>
        <bgColor indexed="64"/>
      </patternFill>
    </fill>
    <fill>
      <patternFill patternType="solid">
        <fgColor indexed="20"/>
        <bgColor indexed="64"/>
      </patternFill>
    </fill>
    <fill>
      <patternFill patternType="solid">
        <fgColor indexed="45"/>
        <bgColor indexed="64"/>
      </patternFill>
    </fill>
    <fill>
      <patternFill patternType="solid">
        <fgColor indexed="46"/>
        <bgColor indexed="64"/>
      </patternFill>
    </fill>
    <fill>
      <patternFill patternType="solid">
        <fgColor indexed="18"/>
        <bgColor indexed="64"/>
      </patternFill>
    </fill>
    <fill>
      <patternFill patternType="solid">
        <fgColor indexed="28"/>
        <bgColor indexed="64"/>
      </patternFill>
    </fill>
    <fill>
      <patternFill patternType="solid">
        <fgColor indexed="17"/>
        <bgColor indexed="64"/>
      </patternFill>
    </fill>
    <fill>
      <patternFill patternType="solid">
        <fgColor indexed="2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indexed="8"/>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246">
    <xf numFmtId="0" fontId="1" fillId="0" borderId="0" xfId="0" applyFont="1"/>
    <xf numFmtId="0" fontId="2" fillId="0" borderId="0" xfId="0" applyFont="1"/>
    <xf numFmtId="14" fontId="1" fillId="0" borderId="0" xfId="0" applyNumberFormat="1" applyFont="1"/>
    <xf numFmtId="0" fontId="1" fillId="0" borderId="0" xfId="0" applyFont="1" applyAlignment="1">
      <alignment horizontal="center"/>
    </xf>
    <xf numFmtId="0" fontId="1" fillId="0" borderId="0" xfId="0" applyFont="1" applyAlignment="1"/>
    <xf numFmtId="0" fontId="4" fillId="0" borderId="0" xfId="0" applyFont="1" applyAlignment="1">
      <alignment horizontal="center"/>
    </xf>
    <xf numFmtId="0" fontId="5" fillId="0" borderId="0" xfId="0" applyFont="1"/>
    <xf numFmtId="0" fontId="1" fillId="0" borderId="0" xfId="0" applyFont="1" applyAlignment="1">
      <alignment horizontal="right"/>
    </xf>
    <xf numFmtId="0" fontId="1" fillId="0" borderId="0" xfId="0" applyNumberFormat="1" applyFont="1"/>
    <xf numFmtId="57" fontId="1" fillId="0" borderId="1" xfId="0" applyNumberFormat="1" applyFont="1" applyBorder="1"/>
    <xf numFmtId="0" fontId="1" fillId="0" borderId="0" xfId="0" applyFont="1" applyAlignment="1">
      <alignment vertical="center"/>
    </xf>
    <xf numFmtId="0" fontId="1" fillId="0" borderId="2" xfId="0" applyFont="1" applyBorder="1" applyAlignment="1">
      <alignment horizontal="center"/>
    </xf>
    <xf numFmtId="0" fontId="1" fillId="0" borderId="3" xfId="0" applyFont="1" applyBorder="1"/>
    <xf numFmtId="0" fontId="4" fillId="0" borderId="3" xfId="0" applyFont="1" applyBorder="1" applyAlignment="1">
      <alignment horizontal="center"/>
    </xf>
    <xf numFmtId="0" fontId="1" fillId="0" borderId="4" xfId="0" applyFont="1" applyBorder="1" applyAlignment="1">
      <alignment horizontal="center"/>
    </xf>
    <xf numFmtId="0" fontId="1" fillId="0" borderId="0" xfId="0" applyFont="1" applyBorder="1"/>
    <xf numFmtId="0" fontId="1" fillId="0" borderId="0" xfId="0" applyFont="1" applyBorder="1" applyAlignment="1">
      <alignment horizontal="center"/>
    </xf>
    <xf numFmtId="0" fontId="5" fillId="0" borderId="0" xfId="0" applyFont="1" applyBorder="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4" fillId="0" borderId="4" xfId="0" applyFont="1" applyBorder="1" applyAlignment="1">
      <alignment horizontal="center"/>
    </xf>
    <xf numFmtId="0" fontId="8" fillId="0" borderId="4" xfId="0" applyFont="1" applyBorder="1" applyAlignment="1">
      <alignment horizontal="center"/>
    </xf>
    <xf numFmtId="0" fontId="8" fillId="0" borderId="6" xfId="0" applyFont="1" applyBorder="1" applyAlignment="1">
      <alignment horizontal="center"/>
    </xf>
    <xf numFmtId="0" fontId="1" fillId="0" borderId="8" xfId="0" applyFont="1" applyBorder="1" applyAlignment="1">
      <alignment horizontal="center"/>
    </xf>
    <xf numFmtId="0" fontId="1" fillId="2" borderId="0" xfId="0" applyFont="1" applyFill="1" applyBorder="1" applyAlignment="1">
      <alignment horizontal="center"/>
    </xf>
    <xf numFmtId="0" fontId="1" fillId="3" borderId="0" xfId="0" applyFont="1" applyFill="1" applyBorder="1" applyAlignment="1">
      <alignment horizontal="center"/>
    </xf>
    <xf numFmtId="0" fontId="1" fillId="3" borderId="5" xfId="0" applyFont="1" applyFill="1" applyBorder="1" applyAlignment="1">
      <alignment horizontal="center"/>
    </xf>
    <xf numFmtId="0" fontId="6" fillId="0" borderId="8"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vertical="center"/>
    </xf>
    <xf numFmtId="0" fontId="1" fillId="0" borderId="7" xfId="0" applyFont="1" applyBorder="1"/>
    <xf numFmtId="0" fontId="4" fillId="0" borderId="7" xfId="0" applyFont="1" applyBorder="1" applyAlignment="1">
      <alignment horizontal="center"/>
    </xf>
    <xf numFmtId="0" fontId="1" fillId="0" borderId="10" xfId="0" applyFont="1" applyBorder="1"/>
    <xf numFmtId="0" fontId="1" fillId="0" borderId="11" xfId="0" applyFont="1" applyBorder="1"/>
    <xf numFmtId="0" fontId="6" fillId="0" borderId="9" xfId="0" applyFont="1" applyBorder="1" applyAlignment="1">
      <alignment horizontal="center"/>
    </xf>
    <xf numFmtId="176" fontId="1" fillId="0" borderId="0" xfId="0" applyNumberFormat="1" applyFont="1" applyAlignment="1">
      <alignment horizontal="right"/>
    </xf>
    <xf numFmtId="0" fontId="7" fillId="0" borderId="0" xfId="0" applyFont="1"/>
    <xf numFmtId="0" fontId="1" fillId="4" borderId="12" xfId="0" applyFont="1" applyFill="1" applyBorder="1" applyAlignment="1">
      <alignment horizontal="center"/>
    </xf>
    <xf numFmtId="0" fontId="1" fillId="4" borderId="8" xfId="0" applyFont="1" applyFill="1" applyBorder="1" applyAlignment="1">
      <alignment horizontal="center"/>
    </xf>
    <xf numFmtId="0" fontId="4" fillId="4" borderId="9" xfId="0" applyFont="1" applyFill="1" applyBorder="1" applyAlignment="1">
      <alignment horizontal="center"/>
    </xf>
    <xf numFmtId="0" fontId="5" fillId="4" borderId="8" xfId="0" applyFont="1" applyFill="1" applyBorder="1" applyAlignment="1">
      <alignment horizontal="center"/>
    </xf>
    <xf numFmtId="0" fontId="13" fillId="5" borderId="0" xfId="0" applyFont="1" applyFill="1" applyBorder="1" applyAlignment="1">
      <alignment horizontal="center"/>
    </xf>
    <xf numFmtId="0" fontId="1" fillId="4" borderId="9" xfId="0" applyFont="1" applyFill="1" applyBorder="1" applyAlignment="1">
      <alignment horizontal="center"/>
    </xf>
    <xf numFmtId="0" fontId="9" fillId="6" borderId="12" xfId="0" applyFont="1" applyFill="1" applyBorder="1" applyAlignment="1">
      <alignment horizontal="center"/>
    </xf>
    <xf numFmtId="0" fontId="9" fillId="6" borderId="8" xfId="0" applyFont="1" applyFill="1" applyBorder="1" applyAlignment="1">
      <alignment horizontal="center"/>
    </xf>
    <xf numFmtId="0" fontId="10" fillId="6" borderId="9" xfId="0" applyFont="1" applyFill="1" applyBorder="1" applyAlignment="1">
      <alignment horizontal="center"/>
    </xf>
    <xf numFmtId="0" fontId="11" fillId="6" borderId="8" xfId="0" applyFont="1" applyFill="1" applyBorder="1" applyAlignment="1">
      <alignment horizontal="center"/>
    </xf>
    <xf numFmtId="0" fontId="9" fillId="6" borderId="9" xfId="0" applyFont="1" applyFill="1" applyBorder="1" applyAlignment="1">
      <alignment horizontal="center"/>
    </xf>
    <xf numFmtId="0" fontId="12" fillId="7" borderId="8"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5" fillId="2" borderId="0" xfId="0" applyFont="1" applyFill="1" applyBorder="1" applyAlignment="1">
      <alignment horizontal="center"/>
    </xf>
    <xf numFmtId="0" fontId="1" fillId="2" borderId="7" xfId="0" applyFont="1" applyFill="1" applyBorder="1" applyAlignment="1">
      <alignment horizontal="center"/>
    </xf>
    <xf numFmtId="0" fontId="1" fillId="8" borderId="12" xfId="0" applyFont="1" applyFill="1" applyBorder="1" applyAlignment="1">
      <alignment horizontal="center"/>
    </xf>
    <xf numFmtId="0" fontId="1" fillId="8" borderId="8" xfId="0" applyFont="1" applyFill="1" applyBorder="1" applyAlignment="1">
      <alignment horizontal="center"/>
    </xf>
    <xf numFmtId="0" fontId="4" fillId="8" borderId="9" xfId="0" applyFont="1" applyFill="1" applyBorder="1" applyAlignment="1">
      <alignment horizontal="center"/>
    </xf>
    <xf numFmtId="0" fontId="5" fillId="8" borderId="8" xfId="0" applyFont="1" applyFill="1" applyBorder="1" applyAlignment="1">
      <alignment horizontal="center"/>
    </xf>
    <xf numFmtId="0" fontId="1" fillId="8" borderId="9" xfId="0" applyFont="1" applyFill="1" applyBorder="1" applyAlignment="1">
      <alignment horizontal="center"/>
    </xf>
    <xf numFmtId="0" fontId="4" fillId="3" borderId="3" xfId="0" applyFont="1" applyFill="1" applyBorder="1" applyAlignment="1">
      <alignment horizontal="center"/>
    </xf>
    <xf numFmtId="0" fontId="4" fillId="3" borderId="13" xfId="0" applyFont="1" applyFill="1" applyBorder="1" applyAlignment="1">
      <alignment horizontal="center"/>
    </xf>
    <xf numFmtId="0" fontId="4" fillId="3" borderId="7" xfId="0" applyFont="1" applyFill="1" applyBorder="1" applyAlignment="1">
      <alignment horizontal="center"/>
    </xf>
    <xf numFmtId="0" fontId="4" fillId="3" borderId="14" xfId="0" applyFont="1" applyFill="1" applyBorder="1" applyAlignment="1">
      <alignment horizontal="center"/>
    </xf>
    <xf numFmtId="0" fontId="5" fillId="3" borderId="0" xfId="0" applyFont="1" applyFill="1" applyBorder="1" applyAlignment="1">
      <alignment horizontal="center"/>
    </xf>
    <xf numFmtId="0" fontId="5" fillId="3" borderId="5" xfId="0" applyFont="1" applyFill="1" applyBorder="1" applyAlignment="1">
      <alignment horizontal="center"/>
    </xf>
    <xf numFmtId="0" fontId="1" fillId="3" borderId="7" xfId="0" applyFont="1" applyFill="1" applyBorder="1" applyAlignment="1">
      <alignment horizontal="center"/>
    </xf>
    <xf numFmtId="0" fontId="1" fillId="3" borderId="14" xfId="0" applyFont="1" applyFill="1" applyBorder="1" applyAlignment="1">
      <alignment horizontal="center"/>
    </xf>
    <xf numFmtId="0" fontId="1" fillId="9" borderId="12" xfId="0" applyFont="1" applyFill="1" applyBorder="1" applyAlignment="1">
      <alignment horizontal="center"/>
    </xf>
    <xf numFmtId="0" fontId="1" fillId="9" borderId="8" xfId="0" applyFont="1" applyFill="1" applyBorder="1" applyAlignment="1">
      <alignment horizontal="center"/>
    </xf>
    <xf numFmtId="0" fontId="4" fillId="9" borderId="9" xfId="0" applyFont="1" applyFill="1" applyBorder="1" applyAlignment="1">
      <alignment horizontal="center"/>
    </xf>
    <xf numFmtId="0" fontId="5" fillId="9" borderId="8" xfId="0" applyFont="1" applyFill="1" applyBorder="1" applyAlignment="1">
      <alignment horizontal="center"/>
    </xf>
    <xf numFmtId="0" fontId="13" fillId="9" borderId="8" xfId="0" applyFont="1" applyFill="1" applyBorder="1" applyAlignment="1">
      <alignment horizontal="center"/>
    </xf>
    <xf numFmtId="0" fontId="13" fillId="9" borderId="9" xfId="0" applyFont="1" applyFill="1" applyBorder="1" applyAlignment="1">
      <alignment horizontal="center"/>
    </xf>
    <xf numFmtId="0" fontId="4" fillId="5" borderId="3" xfId="0" applyFont="1" applyFill="1" applyBorder="1" applyAlignment="1">
      <alignment horizontal="center"/>
    </xf>
    <xf numFmtId="0" fontId="4" fillId="5" borderId="7" xfId="0" applyFont="1" applyFill="1" applyBorder="1" applyAlignment="1">
      <alignment horizontal="center"/>
    </xf>
    <xf numFmtId="0" fontId="5" fillId="5" borderId="0" xfId="0" applyFont="1" applyFill="1" applyBorder="1" applyAlignment="1">
      <alignment horizontal="center"/>
    </xf>
    <xf numFmtId="0" fontId="13" fillId="5" borderId="7" xfId="0" applyFont="1" applyFill="1" applyBorder="1" applyAlignment="1">
      <alignment horizontal="center"/>
    </xf>
    <xf numFmtId="0" fontId="15" fillId="0" borderId="0" xfId="0" applyFont="1"/>
    <xf numFmtId="0" fontId="12" fillId="10" borderId="0" xfId="0" applyFont="1" applyFill="1" applyAlignment="1">
      <alignment horizontal="center"/>
    </xf>
    <xf numFmtId="0" fontId="12" fillId="10" borderId="0" xfId="0" applyFont="1" applyFill="1" applyAlignment="1">
      <alignment horizontal="center" vertical="center"/>
    </xf>
    <xf numFmtId="0" fontId="1" fillId="11" borderId="0" xfId="0" applyFont="1" applyFill="1" applyAlignment="1">
      <alignment horizontal="center"/>
    </xf>
    <xf numFmtId="0" fontId="1" fillId="0" borderId="0" xfId="0" applyFont="1" applyAlignment="1">
      <alignment horizontal="center" vertical="center"/>
    </xf>
    <xf numFmtId="0" fontId="1" fillId="0" borderId="3" xfId="0" applyFont="1" applyBorder="1" applyAlignment="1">
      <alignment horizontal="center"/>
    </xf>
    <xf numFmtId="0" fontId="1" fillId="0" borderId="13" xfId="0" applyFont="1" applyBorder="1" applyAlignment="1">
      <alignment horizontal="center"/>
    </xf>
    <xf numFmtId="0" fontId="12" fillId="12" borderId="5" xfId="0" applyFont="1" applyFill="1" applyBorder="1" applyAlignment="1">
      <alignment horizontal="center"/>
    </xf>
    <xf numFmtId="0" fontId="12" fillId="12" borderId="7" xfId="0" applyFont="1" applyFill="1" applyBorder="1" applyAlignment="1">
      <alignment horizontal="center"/>
    </xf>
    <xf numFmtId="0" fontId="12" fillId="12" borderId="14" xfId="0" applyFont="1" applyFill="1" applyBorder="1" applyAlignment="1">
      <alignment horizontal="center"/>
    </xf>
    <xf numFmtId="0" fontId="12" fillId="13" borderId="7" xfId="0" applyFont="1" applyFill="1" applyBorder="1" applyAlignment="1">
      <alignment horizontal="center"/>
    </xf>
    <xf numFmtId="0" fontId="12" fillId="13" borderId="4" xfId="0" applyFont="1" applyFill="1" applyBorder="1" applyAlignment="1">
      <alignment horizontal="center"/>
    </xf>
    <xf numFmtId="0" fontId="12" fillId="13" borderId="6" xfId="0" applyFont="1" applyFill="1" applyBorder="1" applyAlignment="1">
      <alignment horizontal="center"/>
    </xf>
    <xf numFmtId="0" fontId="1" fillId="14" borderId="15" xfId="0" applyFont="1" applyFill="1" applyBorder="1" applyAlignment="1">
      <alignment horizontal="center" vertical="center"/>
    </xf>
    <xf numFmtId="0" fontId="1" fillId="14" borderId="15" xfId="0" applyFont="1" applyFill="1" applyBorder="1" applyAlignment="1"/>
    <xf numFmtId="0" fontId="1" fillId="15" borderId="4" xfId="0" applyFont="1" applyFill="1" applyBorder="1" applyAlignment="1">
      <alignment horizontal="center"/>
    </xf>
    <xf numFmtId="0" fontId="1" fillId="15" borderId="2" xfId="0" applyFont="1" applyFill="1" applyBorder="1" applyAlignment="1">
      <alignment horizontal="center"/>
    </xf>
    <xf numFmtId="0" fontId="1" fillId="15" borderId="3" xfId="0" applyFont="1" applyFill="1" applyBorder="1" applyAlignment="1">
      <alignment horizontal="center"/>
    </xf>
    <xf numFmtId="0" fontId="12" fillId="0" borderId="0" xfId="0" applyFont="1" applyFill="1" applyBorder="1" applyAlignment="1">
      <alignment horizontal="center" vertical="center"/>
    </xf>
    <xf numFmtId="0" fontId="1" fillId="0" borderId="0" xfId="0" applyFont="1" applyFill="1" applyBorder="1"/>
    <xf numFmtId="0" fontId="1" fillId="0" borderId="0" xfId="0" applyFont="1" applyFill="1" applyBorder="1" applyAlignment="1">
      <alignment horizontal="center"/>
    </xf>
    <xf numFmtId="0" fontId="12" fillId="0" borderId="0" xfId="0" applyFont="1" applyFill="1" applyBorder="1" applyAlignment="1">
      <alignment horizontal="center"/>
    </xf>
    <xf numFmtId="0" fontId="1" fillId="16" borderId="2" xfId="0" applyFont="1" applyFill="1" applyBorder="1" applyAlignment="1">
      <alignment horizontal="center" vertical="center"/>
    </xf>
    <xf numFmtId="0" fontId="1" fillId="16" borderId="13" xfId="0" applyFont="1" applyFill="1" applyBorder="1" applyAlignment="1">
      <alignment horizontal="center" vertical="center"/>
    </xf>
    <xf numFmtId="0" fontId="1" fillId="16" borderId="4" xfId="0" applyFont="1" applyFill="1" applyBorder="1" applyAlignment="1">
      <alignment horizontal="center" vertical="center"/>
    </xf>
    <xf numFmtId="0" fontId="1" fillId="16" borderId="5" xfId="0" applyFont="1" applyFill="1" applyBorder="1" applyAlignment="1">
      <alignment horizontal="center" vertical="center"/>
    </xf>
    <xf numFmtId="0" fontId="12" fillId="16" borderId="4" xfId="0" applyFont="1" applyFill="1" applyBorder="1" applyAlignment="1">
      <alignment horizontal="center" vertical="center"/>
    </xf>
    <xf numFmtId="0" fontId="12" fillId="16" borderId="6" xfId="0" applyFont="1" applyFill="1" applyBorder="1" applyAlignment="1">
      <alignment horizontal="center" vertical="center"/>
    </xf>
    <xf numFmtId="0" fontId="12" fillId="16" borderId="5" xfId="0" applyFont="1" applyFill="1" applyBorder="1" applyAlignment="1">
      <alignment horizontal="center" vertical="center"/>
    </xf>
    <xf numFmtId="0" fontId="12" fillId="16" borderId="14" xfId="0" applyFont="1" applyFill="1" applyBorder="1" applyAlignment="1">
      <alignment horizontal="center" vertical="center"/>
    </xf>
    <xf numFmtId="176" fontId="1" fillId="0" borderId="16" xfId="0" applyNumberFormat="1" applyFont="1" applyBorder="1" applyProtection="1">
      <protection locked="0"/>
    </xf>
    <xf numFmtId="176" fontId="1" fillId="0" borderId="16" xfId="0" applyNumberFormat="1" applyFont="1" applyBorder="1" applyProtection="1"/>
    <xf numFmtId="0" fontId="1" fillId="0" borderId="16" xfId="0" applyFont="1" applyBorder="1" applyProtection="1"/>
    <xf numFmtId="0" fontId="1" fillId="0" borderId="16" xfId="0" applyFont="1" applyBorder="1" applyProtection="1">
      <protection locked="0"/>
    </xf>
    <xf numFmtId="0" fontId="1" fillId="0" borderId="0" xfId="0" applyFont="1" applyProtection="1">
      <protection locked="0"/>
    </xf>
    <xf numFmtId="0" fontId="1" fillId="17" borderId="0" xfId="0" applyFont="1" applyFill="1" applyAlignment="1">
      <alignment horizontal="center"/>
    </xf>
    <xf numFmtId="0" fontId="1" fillId="17" borderId="0" xfId="0" applyFont="1" applyFill="1"/>
    <xf numFmtId="0" fontId="1" fillId="17" borderId="0" xfId="0" applyFont="1" applyFill="1" applyAlignment="1"/>
    <xf numFmtId="0" fontId="12" fillId="17" borderId="0" xfId="0" applyFont="1" applyFill="1"/>
    <xf numFmtId="0" fontId="12" fillId="17" borderId="0" xfId="0" applyFont="1" applyFill="1" applyAlignment="1">
      <alignment horizontal="center"/>
    </xf>
    <xf numFmtId="0" fontId="12" fillId="17" borderId="0" xfId="0" applyFont="1" applyFill="1" applyAlignment="1"/>
    <xf numFmtId="0" fontId="12" fillId="17" borderId="0" xfId="0" applyFont="1" applyFill="1" applyAlignment="1">
      <alignment horizontal="left"/>
    </xf>
    <xf numFmtId="0" fontId="12" fillId="17" borderId="0" xfId="0" applyFont="1" applyFill="1" applyAlignment="1">
      <alignment horizontal="center" vertical="center"/>
    </xf>
    <xf numFmtId="0" fontId="17" fillId="17" borderId="0" xfId="0" applyFont="1" applyFill="1" applyAlignment="1">
      <alignment horizontal="center"/>
    </xf>
    <xf numFmtId="0" fontId="1" fillId="0" borderId="5" xfId="0" applyFont="1" applyBorder="1"/>
    <xf numFmtId="0" fontId="1" fillId="0" borderId="2" xfId="0" applyFont="1" applyBorder="1"/>
    <xf numFmtId="0" fontId="1" fillId="0" borderId="13" xfId="0" applyFont="1" applyBorder="1"/>
    <xf numFmtId="0" fontId="1" fillId="0" borderId="4" xfId="0" applyFont="1" applyBorder="1"/>
    <xf numFmtId="0" fontId="1" fillId="0" borderId="6" xfId="0" applyFont="1" applyBorder="1"/>
    <xf numFmtId="0" fontId="1" fillId="0" borderId="14" xfId="0" applyFont="1" applyBorder="1"/>
    <xf numFmtId="0" fontId="1" fillId="0" borderId="16" xfId="0" applyFont="1" applyBorder="1"/>
    <xf numFmtId="57" fontId="1" fillId="0" borderId="0" xfId="0" applyNumberFormat="1" applyFont="1"/>
    <xf numFmtId="0" fontId="1" fillId="4" borderId="0" xfId="0" applyFont="1" applyFill="1" applyAlignment="1">
      <alignment horizontal="center"/>
    </xf>
    <xf numFmtId="0" fontId="1" fillId="18" borderId="0" xfId="0" applyFont="1" applyFill="1" applyAlignment="1">
      <alignment horizontal="center"/>
    </xf>
    <xf numFmtId="0" fontId="1" fillId="19" borderId="0" xfId="0" applyFont="1" applyFill="1" applyAlignment="1">
      <alignment horizontal="center"/>
    </xf>
    <xf numFmtId="0" fontId="1" fillId="0" borderId="0" xfId="0" quotePrefix="1" applyFont="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21" xfId="0" applyFont="1" applyBorder="1"/>
    <xf numFmtId="0" fontId="1" fillId="4" borderId="16" xfId="0" applyFont="1" applyFill="1" applyBorder="1"/>
    <xf numFmtId="0" fontId="1" fillId="0" borderId="15" xfId="0" applyFont="1" applyBorder="1"/>
    <xf numFmtId="0" fontId="1" fillId="0" borderId="10" xfId="0" applyFont="1" applyFill="1" applyBorder="1" applyAlignment="1">
      <alignment horizontal="center"/>
    </xf>
    <xf numFmtId="0" fontId="1" fillId="0" borderId="10" xfId="0" quotePrefix="1" applyFont="1" applyBorder="1"/>
    <xf numFmtId="0" fontId="1" fillId="0" borderId="10" xfId="0" applyFont="1" applyBorder="1" applyAlignment="1">
      <alignment horizontal="center"/>
    </xf>
    <xf numFmtId="0" fontId="22" fillId="0" borderId="0" xfId="0" applyFont="1" applyAlignment="1">
      <alignment horizontal="center"/>
    </xf>
    <xf numFmtId="0" fontId="0" fillId="0" borderId="0" xfId="0" applyFont="1"/>
    <xf numFmtId="0" fontId="0" fillId="0" borderId="0" xfId="0" applyFont="1" applyAlignment="1"/>
    <xf numFmtId="0" fontId="0" fillId="0" borderId="0" xfId="0" applyFont="1" applyAlignment="1">
      <alignment horizontal="center"/>
    </xf>
    <xf numFmtId="0" fontId="25" fillId="0" borderId="0" xfId="0" applyFont="1"/>
    <xf numFmtId="0" fontId="26" fillId="0" borderId="0" xfId="0" applyFont="1"/>
    <xf numFmtId="0" fontId="27" fillId="17" borderId="0" xfId="0" applyFont="1" applyFill="1" applyAlignment="1"/>
    <xf numFmtId="177" fontId="0" fillId="0" borderId="0" xfId="0" applyNumberFormat="1" applyAlignment="1">
      <alignment vertical="center"/>
    </xf>
    <xf numFmtId="0" fontId="0" fillId="0" borderId="0" xfId="0" applyNumberFormat="1" applyAlignment="1">
      <alignment vertical="center"/>
    </xf>
    <xf numFmtId="0" fontId="0" fillId="0" borderId="0" xfId="0" applyAlignment="1">
      <alignment vertical="center"/>
    </xf>
    <xf numFmtId="0" fontId="24" fillId="20" borderId="16" xfId="0" applyFont="1" applyFill="1" applyBorder="1" applyProtection="1">
      <protection locked="0"/>
    </xf>
    <xf numFmtId="0" fontId="24" fillId="20" borderId="16" xfId="0" applyFont="1" applyFill="1" applyBorder="1" applyAlignment="1" applyProtection="1">
      <alignment horizontal="center"/>
      <protection locked="0"/>
    </xf>
    <xf numFmtId="0" fontId="0" fillId="0" borderId="0" xfId="0" applyFont="1" applyAlignment="1">
      <alignment vertical="center"/>
    </xf>
    <xf numFmtId="0" fontId="1" fillId="0" borderId="0" xfId="0" applyFont="1"/>
    <xf numFmtId="14" fontId="0" fillId="0" borderId="0" xfId="0" applyNumberFormat="1" applyAlignment="1">
      <alignment vertical="center"/>
    </xf>
    <xf numFmtId="14" fontId="0" fillId="0" borderId="0" xfId="0" applyNumberFormat="1"/>
    <xf numFmtId="0" fontId="1" fillId="22" borderId="0" xfId="0" applyFont="1" applyFill="1"/>
    <xf numFmtId="0" fontId="0" fillId="0" borderId="0" xfId="0"/>
    <xf numFmtId="0" fontId="28" fillId="17" borderId="0" xfId="0" applyFont="1" applyFill="1" applyAlignment="1"/>
    <xf numFmtId="0" fontId="1" fillId="4" borderId="22" xfId="0" applyFont="1" applyFill="1" applyBorder="1"/>
    <xf numFmtId="0" fontId="1" fillId="4" borderId="16" xfId="0" applyFont="1" applyFill="1" applyBorder="1" applyProtection="1">
      <protection locked="0"/>
    </xf>
    <xf numFmtId="0" fontId="1" fillId="4" borderId="22" xfId="0" applyFont="1" applyFill="1" applyBorder="1" applyProtection="1">
      <protection locked="0"/>
    </xf>
    <xf numFmtId="14" fontId="28" fillId="17" borderId="0" xfId="0" applyNumberFormat="1" applyFont="1" applyFill="1" applyAlignment="1"/>
    <xf numFmtId="0" fontId="1" fillId="0" borderId="0" xfId="0" applyFont="1" applyAlignment="1"/>
    <xf numFmtId="0" fontId="24" fillId="20" borderId="15" xfId="0" applyFont="1" applyFill="1" applyBorder="1" applyAlignment="1" applyProtection="1">
      <protection locked="0"/>
    </xf>
    <xf numFmtId="0" fontId="24" fillId="20" borderId="11" xfId="0" applyFont="1" applyFill="1" applyBorder="1" applyAlignment="1" applyProtection="1">
      <protection locked="0"/>
    </xf>
    <xf numFmtId="0" fontId="0"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6" fillId="0" borderId="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4" xfId="0" applyFont="1" applyFill="1" applyBorder="1" applyAlignment="1">
      <alignment horizontal="center" vertical="center"/>
    </xf>
    <xf numFmtId="0" fontId="12" fillId="14" borderId="12" xfId="0" applyFont="1" applyFill="1" applyBorder="1" applyAlignment="1">
      <alignment horizontal="center" vertical="center"/>
    </xf>
    <xf numFmtId="0" fontId="1" fillId="0" borderId="9" xfId="0" applyFont="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2" fillId="11" borderId="0" xfId="0" applyFont="1" applyFill="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2" fillId="10" borderId="0" xfId="0" applyFont="1" applyFill="1" applyAlignment="1">
      <alignment horizontal="center" vertical="center"/>
    </xf>
    <xf numFmtId="0" fontId="1" fillId="4" borderId="15" xfId="0" applyFont="1" applyFill="1" applyBorder="1" applyAlignment="1">
      <alignment horizontal="center" vertical="center"/>
    </xf>
    <xf numFmtId="0" fontId="1" fillId="4" borderId="11" xfId="0" applyFont="1" applyFill="1" applyBorder="1" applyAlignment="1">
      <alignment horizontal="center" vertical="center"/>
    </xf>
    <xf numFmtId="0" fontId="18" fillId="9" borderId="4" xfId="0" applyFont="1" applyFill="1" applyBorder="1" applyAlignment="1">
      <alignment horizontal="center" vertical="center"/>
    </xf>
    <xf numFmtId="0" fontId="1" fillId="0" borderId="0" xfId="0" applyFont="1"/>
    <xf numFmtId="0" fontId="1" fillId="0" borderId="5" xfId="0" applyFont="1" applyBorder="1"/>
    <xf numFmtId="0" fontId="1" fillId="0" borderId="0" xfId="0" applyFont="1" applyAlignment="1">
      <alignment horizontal="center"/>
    </xf>
    <xf numFmtId="0" fontId="1" fillId="0" borderId="0" xfId="0" applyFont="1" applyFill="1" applyBorder="1" applyAlignment="1">
      <alignment horizontal="center" vertical="center"/>
    </xf>
    <xf numFmtId="0" fontId="17" fillId="17" borderId="0" xfId="0" applyFont="1" applyFill="1" applyAlignment="1">
      <alignment horizontal="center"/>
    </xf>
    <xf numFmtId="0" fontId="17" fillId="0" borderId="0" xfId="0" applyFont="1" applyAlignment="1">
      <alignment horizontal="center"/>
    </xf>
    <xf numFmtId="14" fontId="19" fillId="0" borderId="0" xfId="0" applyNumberFormat="1" applyFont="1" applyFill="1" applyBorder="1" applyAlignment="1">
      <alignment horizontal="center" vertical="center"/>
    </xf>
    <xf numFmtId="14" fontId="19" fillId="0" borderId="0" xfId="0" applyNumberFormat="1" applyFont="1" applyAlignment="1">
      <alignment horizontal="center" vertical="center"/>
    </xf>
    <xf numFmtId="0" fontId="8" fillId="0" borderId="0" xfId="0" applyFont="1"/>
    <xf numFmtId="0" fontId="8" fillId="0" borderId="5" xfId="0" applyFont="1" applyBorder="1"/>
    <xf numFmtId="0" fontId="20" fillId="12" borderId="0" xfId="0" applyFont="1" applyFill="1" applyAlignment="1">
      <alignment horizontal="center" vertical="center"/>
    </xf>
    <xf numFmtId="0" fontId="21" fillId="17" borderId="0" xfId="0" applyFont="1" applyFill="1" applyAlignment="1">
      <alignment horizontal="center"/>
    </xf>
    <xf numFmtId="0" fontId="12" fillId="17" borderId="0" xfId="0" applyFont="1" applyFill="1" applyAlignment="1">
      <alignment horizontal="center"/>
    </xf>
    <xf numFmtId="0" fontId="12" fillId="17" borderId="0" xfId="0" applyFont="1" applyFill="1" applyAlignment="1"/>
    <xf numFmtId="0" fontId="18" fillId="9" borderId="0" xfId="0" applyFont="1" applyFill="1" applyAlignment="1">
      <alignment horizontal="center" vertical="center"/>
    </xf>
    <xf numFmtId="0" fontId="18" fillId="9" borderId="5" xfId="0" applyFont="1" applyFill="1" applyBorder="1" applyAlignment="1">
      <alignment horizontal="center" vertical="center"/>
    </xf>
    <xf numFmtId="0" fontId="24" fillId="20" borderId="15" xfId="0" applyFont="1" applyFill="1" applyBorder="1" applyAlignment="1" applyProtection="1">
      <alignment horizontal="center"/>
      <protection locked="0"/>
    </xf>
    <xf numFmtId="0" fontId="24" fillId="20" borderId="11" xfId="0" applyFont="1" applyFill="1" applyBorder="1" applyAlignment="1" applyProtection="1">
      <alignment horizontal="center"/>
      <protection locked="0"/>
    </xf>
    <xf numFmtId="0" fontId="1" fillId="0" borderId="11" xfId="0" applyFont="1" applyBorder="1" applyAlignment="1">
      <alignment horizontal="center" vertical="center"/>
    </xf>
    <xf numFmtId="0" fontId="1" fillId="14" borderId="15" xfId="0" applyFont="1" applyFill="1" applyBorder="1" applyAlignment="1">
      <alignment horizontal="center"/>
    </xf>
    <xf numFmtId="0" fontId="1" fillId="14" borderId="11" xfId="0" applyFont="1" applyFill="1" applyBorder="1" applyAlignment="1">
      <alignment horizontal="center"/>
    </xf>
    <xf numFmtId="0" fontId="15" fillId="17" borderId="0" xfId="0" applyFont="1" applyFill="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Fill="1" applyBorder="1" applyAlignment="1">
      <alignment vertical="center" wrapText="1"/>
    </xf>
    <xf numFmtId="14" fontId="28" fillId="21" borderId="15" xfId="0" applyNumberFormat="1" applyFont="1" applyFill="1" applyBorder="1" applyAlignment="1"/>
    <xf numFmtId="14" fontId="28" fillId="21" borderId="10" xfId="0" applyNumberFormat="1" applyFont="1" applyFill="1" applyBorder="1" applyAlignment="1"/>
    <xf numFmtId="14" fontId="28" fillId="21" borderId="11" xfId="0" applyNumberFormat="1" applyFont="1" applyFill="1" applyBorder="1" applyAlignment="1"/>
    <xf numFmtId="57" fontId="1" fillId="0" borderId="15" xfId="0" applyNumberFormat="1" applyFont="1" applyBorder="1" applyAlignment="1" applyProtection="1">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4" fillId="12" borderId="0" xfId="0" applyFont="1" applyFill="1" applyAlignment="1">
      <alignment horizontal="center" vertical="center"/>
    </xf>
    <xf numFmtId="0" fontId="1" fillId="0" borderId="0" xfId="0" applyFont="1" applyBorder="1" applyAlignment="1">
      <alignment horizontal="center"/>
    </xf>
    <xf numFmtId="0" fontId="13" fillId="5" borderId="0" xfId="0" applyFont="1" applyFill="1" applyBorder="1" applyAlignment="1">
      <alignment horizontal="center"/>
    </xf>
    <xf numFmtId="0" fontId="1" fillId="2" borderId="0" xfId="0" applyFont="1" applyFill="1" applyBorder="1" applyAlignment="1">
      <alignment horizontal="center"/>
    </xf>
    <xf numFmtId="0" fontId="1" fillId="3" borderId="0" xfId="0" applyFont="1" applyFill="1" applyBorder="1" applyAlignment="1">
      <alignment horizontal="center"/>
    </xf>
    <xf numFmtId="0" fontId="1" fillId="3" borderId="5" xfId="0" applyFont="1" applyFill="1" applyBorder="1" applyAlignment="1">
      <alignment horizontal="center"/>
    </xf>
    <xf numFmtId="0" fontId="1" fillId="0" borderId="12"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12" xfId="0" applyNumberFormat="1" applyFont="1" applyBorder="1" applyAlignment="1">
      <alignment horizontal="left" vertical="center"/>
    </xf>
    <xf numFmtId="176" fontId="1"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12"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0" xfId="0" applyFont="1" applyBorder="1" applyAlignment="1">
      <alignment horizontal="left"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vertical="center" wrapText="1"/>
    </xf>
    <xf numFmtId="57" fontId="0" fillId="0" borderId="15" xfId="0" applyNumberFormat="1" applyFont="1" applyBorder="1" applyAlignment="1" applyProtection="1">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cellXfs>
  <cellStyles count="1">
    <cellStyle name="標準" xfId="0" builtinId="0"/>
  </cellStyles>
  <dxfs count="18">
    <dxf>
      <font>
        <b val="0"/>
        <i val="0"/>
        <condense val="0"/>
        <extend val="0"/>
        <color indexed="8"/>
      </font>
      <fill>
        <patternFill>
          <bgColor indexed="10"/>
        </patternFill>
      </fill>
    </dxf>
    <dxf>
      <font>
        <b/>
        <i val="0"/>
        <condense val="0"/>
        <extend val="0"/>
        <color indexed="10"/>
      </font>
      <fill>
        <patternFill>
          <bgColor indexed="8"/>
        </patternFill>
      </fill>
    </dxf>
    <dxf>
      <font>
        <b/>
        <i val="0"/>
        <condense val="0"/>
        <extend val="0"/>
        <color indexed="12"/>
      </font>
      <fill>
        <patternFill>
          <bgColor indexed="11"/>
        </patternFill>
      </fill>
    </dxf>
    <dxf>
      <font>
        <b/>
        <i val="0"/>
        <condense val="0"/>
        <extend val="0"/>
        <color indexed="8"/>
      </font>
      <fill>
        <patternFill>
          <bgColor indexed="10"/>
        </patternFill>
      </fill>
    </dxf>
    <dxf>
      <font>
        <b/>
        <i val="0"/>
        <condense val="0"/>
        <extend val="0"/>
        <color indexed="12"/>
      </font>
      <fill>
        <patternFill>
          <bgColor indexed="11"/>
        </patternFill>
      </fill>
    </dxf>
    <dxf>
      <fill>
        <patternFill>
          <bgColor indexed="10"/>
        </patternFill>
      </fill>
    </dxf>
    <dxf>
      <font>
        <condense val="0"/>
        <extend val="0"/>
        <color indexed="8"/>
      </font>
      <fill>
        <patternFill>
          <bgColor indexed="10"/>
        </patternFill>
      </fill>
    </dxf>
    <dxf>
      <font>
        <condense val="0"/>
        <extend val="0"/>
        <color indexed="12"/>
      </font>
      <fill>
        <patternFill>
          <bgColor indexed="11"/>
        </patternFill>
      </fill>
    </dxf>
    <dxf>
      <fill>
        <patternFill>
          <bgColor indexed="10"/>
        </patternFill>
      </fill>
    </dxf>
    <dxf>
      <font>
        <b/>
        <i val="0"/>
        <condense val="0"/>
        <extend val="0"/>
        <color indexed="8"/>
      </font>
      <fill>
        <patternFill>
          <bgColor indexed="10"/>
        </patternFill>
      </fill>
    </dxf>
    <dxf>
      <font>
        <b/>
        <i val="0"/>
        <condense val="0"/>
        <extend val="0"/>
        <color indexed="12"/>
      </font>
      <fill>
        <patternFill>
          <bgColor indexed="11"/>
        </patternFill>
      </fill>
    </dxf>
    <dxf>
      <font>
        <b/>
        <i val="0"/>
        <condense val="0"/>
        <extend val="0"/>
        <color indexed="51"/>
      </font>
      <fill>
        <patternFill>
          <bgColor indexed="10"/>
        </patternFill>
      </fill>
    </dxf>
    <dxf>
      <font>
        <b/>
        <i val="0"/>
        <condense val="0"/>
        <extend val="0"/>
        <color indexed="10"/>
      </font>
      <fill>
        <patternFill>
          <bgColor indexed="8"/>
        </patternFill>
      </fill>
    </dxf>
    <dxf>
      <font>
        <b/>
        <i val="0"/>
        <condense val="0"/>
        <extend val="0"/>
        <color indexed="9"/>
      </font>
      <fill>
        <patternFill>
          <bgColor indexed="54"/>
        </patternFill>
      </fill>
    </dxf>
    <dxf>
      <font>
        <b/>
        <i val="0"/>
        <condense val="0"/>
        <extend val="0"/>
        <color indexed="9"/>
      </font>
      <fill>
        <patternFill>
          <bgColor indexed="54"/>
        </patternFill>
      </fill>
    </dxf>
    <dxf>
      <font>
        <b/>
        <i val="0"/>
        <condense val="0"/>
        <extend val="0"/>
        <color indexed="10"/>
      </font>
      <fill>
        <patternFill>
          <bgColor indexed="8"/>
        </patternFill>
      </fill>
    </dxf>
    <dxf>
      <font>
        <b/>
        <i val="0"/>
        <condense val="0"/>
        <extend val="0"/>
      </font>
      <fill>
        <patternFill>
          <bgColor indexed="10"/>
        </patternFill>
      </fill>
    </dxf>
    <dxf>
      <font>
        <b/>
        <i val="0"/>
        <condense val="0"/>
        <extend val="0"/>
        <color auto="1"/>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9"/>
  <sheetViews>
    <sheetView showGridLines="0" showRowColHeaders="0" tabSelected="1" topLeftCell="J1" zoomScale="75" zoomScaleNormal="75" workbookViewId="0">
      <selection activeCell="M9" sqref="M9:N9"/>
    </sheetView>
  </sheetViews>
  <sheetFormatPr defaultColWidth="0" defaultRowHeight="15.95" customHeight="1" zeroHeight="1" x14ac:dyDescent="0.15"/>
  <cols>
    <col min="1" max="9" width="2.75" hidden="1" customWidth="1"/>
    <col min="10" max="10" width="1.375" customWidth="1"/>
    <col min="11" max="12" width="2.75" customWidth="1"/>
    <col min="13" max="26" width="2.75" style="3" customWidth="1"/>
    <col min="27" max="27" width="1.875" customWidth="1"/>
    <col min="28" max="43" width="2.75" customWidth="1"/>
    <col min="44" max="44" width="1.25" customWidth="1"/>
    <col min="45" max="50" width="2.75" hidden="1" customWidth="1"/>
  </cols>
  <sheetData>
    <row r="1" spans="1:43" s="114" customFormat="1" ht="6.75" customHeight="1" x14ac:dyDescent="0.15">
      <c r="A1"/>
      <c r="B1"/>
      <c r="C1"/>
      <c r="D1"/>
      <c r="E1"/>
      <c r="F1"/>
      <c r="G1"/>
      <c r="H1"/>
      <c r="I1"/>
      <c r="M1" s="113"/>
      <c r="N1" s="113"/>
      <c r="O1" s="113"/>
      <c r="P1" s="113"/>
      <c r="Q1" s="113"/>
      <c r="R1" s="113"/>
      <c r="S1" s="113"/>
      <c r="T1" s="113"/>
      <c r="U1" s="113"/>
      <c r="V1" s="113"/>
      <c r="W1" s="113"/>
      <c r="X1" s="113"/>
      <c r="Y1" s="113"/>
      <c r="Z1" s="113"/>
    </row>
    <row r="2" spans="1:43" s="114" customFormat="1" ht="15.95" customHeight="1" x14ac:dyDescent="0.15">
      <c r="A2"/>
      <c r="B2"/>
      <c r="C2"/>
      <c r="D2"/>
      <c r="E2"/>
      <c r="F2"/>
      <c r="G2"/>
      <c r="H2"/>
      <c r="I2"/>
      <c r="M2" s="113"/>
      <c r="N2" s="113"/>
      <c r="O2" s="113"/>
      <c r="P2" s="113"/>
      <c r="Q2" s="198" t="s">
        <v>343</v>
      </c>
      <c r="R2" s="198"/>
      <c r="S2" s="198"/>
      <c r="T2" s="198"/>
      <c r="U2" s="198"/>
      <c r="V2" s="198"/>
      <c r="W2" s="198"/>
      <c r="X2" s="198"/>
      <c r="Y2" s="198"/>
      <c r="Z2" s="198"/>
      <c r="AA2" s="198"/>
      <c r="AB2" s="198"/>
      <c r="AC2" s="198"/>
      <c r="AD2" s="198"/>
      <c r="AE2" s="198"/>
      <c r="AF2" s="198"/>
      <c r="AG2" s="198"/>
      <c r="AH2" s="198"/>
      <c r="AI2" s="198"/>
      <c r="AJ2" s="198"/>
      <c r="AK2" s="198"/>
    </row>
    <row r="3" spans="1:43" s="114" customFormat="1" ht="15.95" customHeight="1" x14ac:dyDescent="0.15">
      <c r="A3"/>
      <c r="B3"/>
      <c r="C3"/>
      <c r="D3"/>
      <c r="E3"/>
      <c r="F3"/>
      <c r="G3"/>
      <c r="H3"/>
      <c r="I3"/>
      <c r="M3" s="113"/>
      <c r="N3" s="113"/>
      <c r="O3" s="113"/>
      <c r="P3" s="113"/>
      <c r="Q3" s="198"/>
      <c r="R3" s="198"/>
      <c r="S3" s="198"/>
      <c r="T3" s="198"/>
      <c r="U3" s="198"/>
      <c r="V3" s="198"/>
      <c r="W3" s="198"/>
      <c r="X3" s="198"/>
      <c r="Y3" s="198"/>
      <c r="Z3" s="198"/>
      <c r="AA3" s="198"/>
      <c r="AB3" s="198"/>
      <c r="AC3" s="198"/>
      <c r="AD3" s="198"/>
      <c r="AE3" s="198"/>
      <c r="AF3" s="198"/>
      <c r="AG3" s="198"/>
      <c r="AH3" s="198"/>
      <c r="AI3" s="198"/>
      <c r="AJ3" s="198"/>
      <c r="AK3" s="198"/>
      <c r="AM3" s="166">
        <v>44479</v>
      </c>
      <c r="AN3" s="167"/>
      <c r="AO3" s="167"/>
      <c r="AP3" s="167"/>
    </row>
    <row r="4" spans="1:43" s="114" customFormat="1" ht="7.5" customHeight="1" x14ac:dyDescent="0.15">
      <c r="A4"/>
      <c r="B4"/>
      <c r="C4"/>
      <c r="D4"/>
      <c r="E4"/>
      <c r="F4"/>
      <c r="G4"/>
      <c r="H4"/>
      <c r="I4"/>
      <c r="M4" s="113"/>
      <c r="N4" s="113"/>
      <c r="O4" s="113"/>
      <c r="P4" s="113"/>
      <c r="Q4" s="113"/>
      <c r="R4" s="113"/>
      <c r="S4" s="113"/>
      <c r="T4" s="113"/>
      <c r="U4" s="113"/>
      <c r="V4" s="113"/>
      <c r="W4" s="113"/>
      <c r="X4" s="113"/>
      <c r="Y4" s="113"/>
      <c r="Z4" s="113"/>
    </row>
    <row r="5" spans="1:43" s="114" customFormat="1" ht="15.95" customHeight="1" x14ac:dyDescent="0.15">
      <c r="A5"/>
      <c r="B5"/>
      <c r="C5"/>
      <c r="D5"/>
      <c r="E5"/>
      <c r="F5"/>
      <c r="G5"/>
      <c r="H5"/>
      <c r="I5"/>
      <c r="L5" s="199" t="s">
        <v>244</v>
      </c>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16"/>
    </row>
    <row r="6" spans="1:43" s="114" customFormat="1" ht="6" customHeight="1" x14ac:dyDescent="0.15">
      <c r="A6"/>
      <c r="B6"/>
      <c r="C6"/>
      <c r="D6"/>
      <c r="E6"/>
      <c r="F6"/>
      <c r="G6"/>
      <c r="H6"/>
      <c r="I6"/>
      <c r="L6" s="116"/>
      <c r="M6" s="117"/>
      <c r="N6" s="117"/>
      <c r="O6" s="117"/>
      <c r="P6" s="117"/>
      <c r="Q6" s="117"/>
      <c r="R6" s="117"/>
      <c r="S6" s="117"/>
      <c r="T6" s="117"/>
      <c r="U6" s="117"/>
      <c r="V6" s="117"/>
      <c r="W6" s="117"/>
      <c r="X6" s="117"/>
      <c r="Y6" s="117"/>
      <c r="Z6" s="117"/>
      <c r="AA6" s="116"/>
      <c r="AB6" s="116"/>
      <c r="AC6" s="116"/>
      <c r="AD6" s="116"/>
      <c r="AE6" s="116"/>
      <c r="AF6" s="116"/>
      <c r="AG6" s="116"/>
      <c r="AH6" s="116"/>
      <c r="AI6" s="116"/>
      <c r="AJ6" s="116"/>
      <c r="AK6" s="116"/>
      <c r="AL6" s="116"/>
      <c r="AM6" s="116"/>
      <c r="AN6" s="116"/>
      <c r="AO6" s="116"/>
      <c r="AP6" s="116"/>
      <c r="AQ6" s="116"/>
    </row>
    <row r="7" spans="1:43" s="114" customFormat="1" ht="15.95" customHeight="1" x14ac:dyDescent="0.15">
      <c r="A7"/>
      <c r="B7"/>
      <c r="C7"/>
      <c r="D7"/>
      <c r="E7"/>
      <c r="F7"/>
      <c r="G7"/>
      <c r="H7"/>
      <c r="I7"/>
      <c r="L7" s="116"/>
      <c r="M7" s="117"/>
      <c r="N7" s="117"/>
      <c r="O7" s="117"/>
      <c r="P7" s="117"/>
      <c r="Q7" s="117"/>
      <c r="R7" s="117"/>
      <c r="S7" s="117"/>
      <c r="T7" s="117"/>
      <c r="U7" s="117"/>
      <c r="V7" s="200" t="s">
        <v>249</v>
      </c>
      <c r="W7" s="200"/>
      <c r="X7" s="200"/>
      <c r="Y7" s="200"/>
      <c r="Z7" s="200"/>
      <c r="AA7" s="201"/>
      <c r="AB7" s="201"/>
      <c r="AC7" s="201"/>
      <c r="AD7" s="201"/>
      <c r="AE7" s="201"/>
      <c r="AF7" s="201"/>
      <c r="AG7" s="116"/>
      <c r="AH7" s="116"/>
      <c r="AI7" s="116"/>
      <c r="AJ7" s="116"/>
      <c r="AK7" s="116"/>
      <c r="AL7" s="116"/>
      <c r="AM7" s="116"/>
      <c r="AN7" s="116"/>
      <c r="AO7" s="116"/>
      <c r="AP7" s="116"/>
      <c r="AQ7" s="116"/>
    </row>
    <row r="8" spans="1:43" s="114" customFormat="1" ht="6" customHeight="1" x14ac:dyDescent="0.15">
      <c r="A8"/>
      <c r="B8"/>
      <c r="C8"/>
      <c r="D8"/>
      <c r="E8"/>
      <c r="F8"/>
      <c r="G8"/>
      <c r="H8"/>
      <c r="I8"/>
      <c r="L8" s="116"/>
      <c r="M8" s="117"/>
      <c r="N8" s="117"/>
      <c r="O8" s="117"/>
      <c r="P8" s="117"/>
      <c r="Q8" s="117"/>
      <c r="R8" s="117"/>
      <c r="S8" s="117"/>
      <c r="T8" s="117"/>
      <c r="U8" s="117"/>
      <c r="V8" s="117"/>
      <c r="W8" s="117"/>
      <c r="X8" s="117"/>
      <c r="Y8" s="117"/>
      <c r="Z8" s="117"/>
      <c r="AA8" s="116"/>
      <c r="AB8" s="116"/>
      <c r="AC8" s="116"/>
      <c r="AD8" s="116"/>
      <c r="AE8" s="116"/>
      <c r="AF8" s="116"/>
      <c r="AG8" s="116"/>
      <c r="AH8" s="116"/>
      <c r="AI8" s="116"/>
      <c r="AJ8" s="116"/>
      <c r="AK8" s="116"/>
      <c r="AL8" s="116"/>
      <c r="AM8" s="116"/>
      <c r="AN8" s="116"/>
      <c r="AO8" s="116"/>
      <c r="AP8" s="116"/>
      <c r="AQ8" s="116"/>
    </row>
    <row r="9" spans="1:43" s="114" customFormat="1" ht="15.95" customHeight="1" x14ac:dyDescent="0.15">
      <c r="A9"/>
      <c r="B9"/>
      <c r="C9"/>
      <c r="D9"/>
      <c r="E9"/>
      <c r="F9"/>
      <c r="G9"/>
      <c r="H9"/>
      <c r="I9"/>
      <c r="L9" s="118"/>
      <c r="M9" s="168">
        <v>1927</v>
      </c>
      <c r="N9" s="169"/>
      <c r="O9" s="117" t="s">
        <v>250</v>
      </c>
      <c r="P9" s="155">
        <v>1</v>
      </c>
      <c r="Q9" s="117" t="s">
        <v>246</v>
      </c>
      <c r="R9" s="155">
        <v>7</v>
      </c>
      <c r="S9" s="117" t="s">
        <v>245</v>
      </c>
      <c r="T9" s="117"/>
      <c r="U9" s="200" t="str">
        <f>keisan!L3</f>
        <v>二黒土星</v>
      </c>
      <c r="V9" s="200"/>
      <c r="W9" s="200"/>
      <c r="X9" s="117" t="str">
        <f>keisan!M3</f>
        <v>寅</v>
      </c>
      <c r="Y9" s="119" t="s">
        <v>251</v>
      </c>
      <c r="Z9" s="117"/>
      <c r="AA9" s="116"/>
      <c r="AB9" s="116"/>
      <c r="AC9" s="168">
        <v>2051</v>
      </c>
      <c r="AD9" s="169"/>
      <c r="AE9" s="116" t="s">
        <v>252</v>
      </c>
      <c r="AF9" s="154">
        <v>1</v>
      </c>
      <c r="AG9" s="116"/>
      <c r="AH9" s="154">
        <v>4</v>
      </c>
      <c r="AI9" s="116" t="s">
        <v>253</v>
      </c>
      <c r="AJ9" s="116"/>
      <c r="AK9" s="118" t="str">
        <f>keisan!L4</f>
        <v>四緑木星</v>
      </c>
      <c r="AL9" s="118"/>
      <c r="AM9" s="118"/>
      <c r="AN9" s="116" t="str">
        <f>keisan!M4</f>
        <v>午</v>
      </c>
      <c r="AO9" s="119" t="s">
        <v>251</v>
      </c>
      <c r="AP9" s="116"/>
      <c r="AQ9" s="116"/>
    </row>
    <row r="10" spans="1:43" s="114" customFormat="1" ht="6" customHeight="1" x14ac:dyDescent="0.15">
      <c r="A10"/>
      <c r="B10"/>
      <c r="C10"/>
      <c r="D10"/>
      <c r="E10"/>
      <c r="F10"/>
      <c r="G10"/>
      <c r="H10"/>
      <c r="I10"/>
      <c r="L10" s="116"/>
      <c r="M10" s="117"/>
      <c r="N10" s="117"/>
      <c r="O10" s="117"/>
      <c r="P10" s="117"/>
      <c r="Q10" s="117"/>
      <c r="R10" s="117"/>
      <c r="S10" s="117"/>
      <c r="T10" s="117"/>
      <c r="U10" s="117"/>
      <c r="V10" s="117"/>
      <c r="W10" s="117"/>
      <c r="X10" s="117"/>
      <c r="Y10" s="117"/>
      <c r="Z10" s="117"/>
      <c r="AA10" s="116"/>
      <c r="AB10" s="116"/>
      <c r="AC10" s="116"/>
      <c r="AD10" s="116"/>
      <c r="AE10" s="116"/>
      <c r="AF10" s="116"/>
      <c r="AG10" s="116"/>
      <c r="AH10" s="116"/>
      <c r="AI10" s="116"/>
      <c r="AJ10" s="116"/>
      <c r="AK10" s="116"/>
      <c r="AL10" s="116"/>
      <c r="AM10" s="116"/>
      <c r="AN10" s="116"/>
      <c r="AO10" s="116"/>
      <c r="AP10" s="116"/>
      <c r="AQ10" s="116"/>
    </row>
    <row r="11" spans="1:43" s="114" customFormat="1" ht="15.95" customHeight="1" x14ac:dyDescent="0.15">
      <c r="A11"/>
      <c r="B11"/>
      <c r="C11"/>
      <c r="D11"/>
      <c r="E11"/>
      <c r="F11"/>
      <c r="G11"/>
      <c r="H11"/>
      <c r="I11"/>
      <c r="L11" s="116"/>
      <c r="M11" s="200" t="s">
        <v>247</v>
      </c>
      <c r="N11" s="200"/>
      <c r="O11" s="200"/>
      <c r="P11" s="200"/>
      <c r="Q11" s="200"/>
      <c r="R11" s="200"/>
      <c r="S11" s="200"/>
      <c r="T11" s="200"/>
      <c r="U11" s="200"/>
      <c r="V11" s="117"/>
      <c r="W11" s="117"/>
      <c r="X11" s="117"/>
      <c r="Y11" s="117"/>
      <c r="Z11" s="117"/>
      <c r="AA11" s="201" t="s">
        <v>254</v>
      </c>
      <c r="AB11" s="201"/>
      <c r="AC11" s="201"/>
      <c r="AD11" s="201"/>
      <c r="AE11" s="201"/>
      <c r="AF11" s="201"/>
      <c r="AG11" s="201"/>
      <c r="AH11" s="201"/>
      <c r="AI11" s="201"/>
      <c r="AJ11" s="201"/>
      <c r="AK11" s="201"/>
      <c r="AL11" s="201"/>
      <c r="AM11" s="201"/>
      <c r="AN11" s="201"/>
      <c r="AO11" s="201"/>
      <c r="AP11" s="201"/>
      <c r="AQ11" s="201"/>
    </row>
    <row r="12" spans="1:43" s="114" customFormat="1" ht="6.75" customHeight="1" x14ac:dyDescent="0.15">
      <c r="A12"/>
      <c r="B12"/>
      <c r="C12"/>
      <c r="D12"/>
      <c r="E12"/>
      <c r="F12"/>
      <c r="G12"/>
      <c r="H12"/>
      <c r="I12"/>
      <c r="L12" s="116"/>
      <c r="M12" s="117"/>
      <c r="N12" s="117"/>
      <c r="O12" s="117"/>
      <c r="P12" s="117"/>
      <c r="Q12" s="117"/>
      <c r="R12" s="117"/>
      <c r="S12" s="117"/>
      <c r="T12" s="117"/>
      <c r="U12" s="117"/>
      <c r="V12" s="117"/>
      <c r="W12" s="117"/>
      <c r="X12" s="117"/>
      <c r="Y12" s="117"/>
      <c r="Z12" s="117"/>
      <c r="AA12" s="116"/>
      <c r="AB12" s="116"/>
      <c r="AC12" s="116"/>
      <c r="AD12" s="116"/>
      <c r="AE12" s="116"/>
      <c r="AF12" s="116"/>
      <c r="AG12" s="116"/>
      <c r="AH12" s="116"/>
      <c r="AI12" s="116"/>
      <c r="AJ12" s="116"/>
      <c r="AK12" s="116"/>
      <c r="AL12" s="116"/>
      <c r="AM12" s="116"/>
      <c r="AN12" s="116"/>
      <c r="AO12" s="116"/>
      <c r="AP12" s="116"/>
      <c r="AQ12" s="116"/>
    </row>
    <row r="13" spans="1:43" s="114" customFormat="1" ht="15.95" customHeight="1" x14ac:dyDescent="0.15">
      <c r="A13"/>
      <c r="B13"/>
      <c r="C13"/>
      <c r="D13"/>
      <c r="E13"/>
      <c r="F13"/>
      <c r="G13"/>
      <c r="H13"/>
      <c r="I13"/>
      <c r="L13" s="116"/>
      <c r="M13" s="204">
        <v>2021</v>
      </c>
      <c r="N13" s="205"/>
      <c r="O13" s="117" t="s">
        <v>252</v>
      </c>
      <c r="P13" s="155">
        <v>10</v>
      </c>
      <c r="Q13" s="117" t="s">
        <v>255</v>
      </c>
      <c r="R13" s="155">
        <v>10</v>
      </c>
      <c r="S13" s="117" t="s">
        <v>253</v>
      </c>
      <c r="T13" s="117"/>
      <c r="U13" s="200" t="str">
        <f>keisan!L6</f>
        <v>六白金星</v>
      </c>
      <c r="V13" s="200"/>
      <c r="W13" s="200"/>
      <c r="X13" s="117" t="str">
        <f>keisan!M6</f>
        <v>丑</v>
      </c>
      <c r="Y13" s="117" t="s">
        <v>252</v>
      </c>
      <c r="Z13" s="117"/>
      <c r="AA13" s="116">
        <v>0</v>
      </c>
      <c r="AB13" s="116" t="s">
        <v>256</v>
      </c>
      <c r="AC13" s="116"/>
      <c r="AD13" s="116"/>
      <c r="AE13" s="116"/>
      <c r="AF13" s="116"/>
      <c r="AG13" s="116"/>
      <c r="AH13" s="116"/>
      <c r="AI13" s="154">
        <v>8</v>
      </c>
      <c r="AJ13" s="116"/>
      <c r="AK13" s="116"/>
      <c r="AL13" s="116" t="s">
        <v>257</v>
      </c>
      <c r="AM13" s="116"/>
      <c r="AN13" s="116"/>
      <c r="AO13" s="116"/>
      <c r="AP13" s="116" t="s">
        <v>258</v>
      </c>
      <c r="AQ13" s="116">
        <v>10</v>
      </c>
    </row>
    <row r="14" spans="1:43" s="114" customFormat="1" ht="15.95" customHeight="1" x14ac:dyDescent="0.15">
      <c r="A14"/>
      <c r="B14"/>
      <c r="C14"/>
      <c r="D14"/>
      <c r="E14"/>
      <c r="F14"/>
      <c r="G14"/>
      <c r="H14"/>
      <c r="I14"/>
      <c r="L14" s="116"/>
      <c r="M14" s="117"/>
      <c r="N14" s="117"/>
      <c r="O14" s="117"/>
      <c r="P14" s="117"/>
      <c r="Q14" s="117"/>
      <c r="R14" s="117"/>
      <c r="S14" s="117"/>
      <c r="T14" s="117"/>
      <c r="U14" s="200" t="str">
        <f>keisan!N6</f>
        <v>六白金星</v>
      </c>
      <c r="V14" s="200"/>
      <c r="W14" s="200"/>
      <c r="X14" s="117" t="str">
        <f>keisan!O6</f>
        <v>戌</v>
      </c>
      <c r="Y14" s="117" t="s">
        <v>246</v>
      </c>
      <c r="Z14" s="117"/>
      <c r="AA14" s="116" t="s">
        <v>248</v>
      </c>
      <c r="AB14" s="116"/>
      <c r="AC14" s="116"/>
      <c r="AD14" s="116"/>
      <c r="AE14" s="116"/>
      <c r="AF14" s="116"/>
      <c r="AG14" s="116"/>
      <c r="AH14" s="116"/>
      <c r="AI14" s="116"/>
      <c r="AJ14" s="116"/>
      <c r="AK14" s="116"/>
      <c r="AL14" s="116"/>
      <c r="AM14" s="116"/>
      <c r="AN14" s="116"/>
      <c r="AO14" s="116"/>
      <c r="AP14" s="116"/>
      <c r="AQ14" s="116"/>
    </row>
    <row r="15" spans="1:43" s="114" customFormat="1" ht="15.95" customHeight="1" x14ac:dyDescent="0.15">
      <c r="A15"/>
      <c r="B15"/>
      <c r="C15"/>
      <c r="D15"/>
      <c r="E15"/>
      <c r="F15"/>
      <c r="G15"/>
      <c r="H15"/>
      <c r="I15"/>
      <c r="K15" s="150" t="s">
        <v>342</v>
      </c>
      <c r="L15" s="116"/>
      <c r="M15" s="117"/>
      <c r="N15" s="117"/>
      <c r="O15" s="117"/>
      <c r="P15" s="117"/>
      <c r="Q15" s="117"/>
      <c r="R15" s="117"/>
      <c r="S15" s="117"/>
      <c r="T15" s="117"/>
      <c r="U15" s="117"/>
      <c r="V15" s="117"/>
      <c r="W15" s="117"/>
      <c r="X15" s="117"/>
      <c r="Y15" s="117"/>
      <c r="Z15" s="117"/>
      <c r="AA15" s="116"/>
      <c r="AB15" s="116"/>
      <c r="AC15" s="116" t="s">
        <v>291</v>
      </c>
      <c r="AD15" s="116"/>
      <c r="AE15" s="116"/>
      <c r="AF15" s="116"/>
      <c r="AG15" s="116"/>
      <c r="AH15" s="116"/>
      <c r="AI15" s="116"/>
      <c r="AJ15" s="116"/>
      <c r="AK15" s="116"/>
      <c r="AL15" s="116"/>
      <c r="AM15" s="116"/>
      <c r="AN15" s="116"/>
      <c r="AO15" s="116"/>
      <c r="AP15" s="116"/>
      <c r="AQ15" s="116"/>
    </row>
    <row r="16" spans="1:43" s="114" customFormat="1" ht="15.95" hidden="1" customHeight="1" x14ac:dyDescent="0.15">
      <c r="A16"/>
      <c r="B16"/>
      <c r="C16"/>
      <c r="D16"/>
      <c r="E16"/>
      <c r="F16"/>
      <c r="G16"/>
      <c r="H16"/>
      <c r="I16"/>
      <c r="M16" s="113"/>
      <c r="N16" s="113"/>
      <c r="O16" s="113"/>
      <c r="P16" s="113"/>
      <c r="Q16" s="113"/>
      <c r="R16" s="113"/>
      <c r="S16" s="113"/>
      <c r="T16" s="113"/>
      <c r="U16" s="3"/>
      <c r="V16" s="3"/>
      <c r="W16" s="3"/>
      <c r="X16" s="3"/>
      <c r="Y16" s="3"/>
      <c r="Z16" s="3"/>
      <c r="AA16"/>
      <c r="AB16"/>
      <c r="AC16"/>
      <c r="AD16"/>
      <c r="AE16"/>
      <c r="AF16"/>
      <c r="AG16"/>
      <c r="AH16"/>
      <c r="AI16"/>
      <c r="AJ16"/>
      <c r="AK16"/>
      <c r="AL16"/>
      <c r="AM16"/>
      <c r="AN16"/>
      <c r="AO16"/>
      <c r="AP16"/>
      <c r="AQ16"/>
    </row>
    <row r="17" spans="1:43" s="114" customFormat="1" ht="15.95" hidden="1" customHeight="1" x14ac:dyDescent="0.15">
      <c r="A17"/>
      <c r="B17"/>
      <c r="C17"/>
      <c r="D17"/>
      <c r="E17"/>
      <c r="F17"/>
      <c r="G17"/>
      <c r="H17"/>
      <c r="I17"/>
      <c r="M17" s="113"/>
      <c r="N17" s="113"/>
      <c r="O17" s="113"/>
      <c r="P17" s="113"/>
      <c r="Q17" s="113"/>
      <c r="R17" s="113"/>
      <c r="S17" s="113"/>
      <c r="T17" s="113"/>
      <c r="U17" s="3"/>
      <c r="V17" s="3"/>
      <c r="W17" s="3"/>
      <c r="X17" s="3"/>
      <c r="Y17" s="3"/>
      <c r="Z17" s="3"/>
      <c r="AA17"/>
      <c r="AB17"/>
      <c r="AC17"/>
      <c r="AD17"/>
      <c r="AE17"/>
      <c r="AF17"/>
      <c r="AG17"/>
      <c r="AH17"/>
      <c r="AI17"/>
      <c r="AJ17"/>
      <c r="AK17"/>
      <c r="AL17"/>
      <c r="AM17"/>
      <c r="AN17"/>
      <c r="AO17"/>
      <c r="AP17"/>
      <c r="AQ17"/>
    </row>
    <row r="18" spans="1:43" s="114" customFormat="1" ht="15.95" hidden="1" customHeight="1" x14ac:dyDescent="0.15">
      <c r="A18"/>
      <c r="B18"/>
      <c r="C18"/>
      <c r="D18"/>
      <c r="E18"/>
      <c r="F18"/>
      <c r="G18"/>
      <c r="H18"/>
      <c r="I18"/>
      <c r="M18" s="113"/>
      <c r="N18" s="113"/>
      <c r="O18" s="113"/>
      <c r="P18" s="113"/>
      <c r="Q18" s="113"/>
      <c r="R18" s="113"/>
      <c r="S18" s="113"/>
      <c r="T18" s="113"/>
      <c r="U18" s="3"/>
      <c r="V18" s="3"/>
      <c r="W18" s="3"/>
      <c r="X18" s="3"/>
      <c r="Y18" s="3"/>
      <c r="Z18" s="3"/>
      <c r="AA18"/>
      <c r="AB18"/>
      <c r="AC18"/>
      <c r="AD18"/>
      <c r="AE18"/>
      <c r="AF18"/>
      <c r="AG18"/>
      <c r="AH18"/>
      <c r="AI18"/>
      <c r="AJ18"/>
      <c r="AK18"/>
      <c r="AL18"/>
      <c r="AM18"/>
      <c r="AN18"/>
      <c r="AO18"/>
      <c r="AP18"/>
      <c r="AQ18"/>
    </row>
    <row r="19" spans="1:43" s="114" customFormat="1" ht="9.75" customHeight="1" x14ac:dyDescent="0.15">
      <c r="A19"/>
      <c r="B19"/>
      <c r="C19"/>
      <c r="D19"/>
      <c r="E19"/>
      <c r="F19"/>
      <c r="G19"/>
      <c r="H19"/>
      <c r="I19"/>
      <c r="L19" s="115"/>
      <c r="M19" s="113"/>
      <c r="N19" s="113"/>
      <c r="O19" s="113"/>
      <c r="P19" s="113"/>
      <c r="Q19" s="113"/>
      <c r="R19" s="113"/>
      <c r="S19" s="113"/>
      <c r="T19" s="113"/>
      <c r="U19" s="113"/>
      <c r="V19" s="113"/>
      <c r="W19" s="113"/>
      <c r="X19" s="113"/>
      <c r="Y19" s="113"/>
      <c r="Z19" s="113"/>
    </row>
    <row r="20" spans="1:43" s="114" customFormat="1" ht="15.95" customHeight="1" x14ac:dyDescent="0.15">
      <c r="A20"/>
      <c r="B20"/>
      <c r="C20"/>
      <c r="D20"/>
      <c r="E20"/>
      <c r="F20"/>
      <c r="G20"/>
      <c r="H20"/>
      <c r="I20"/>
      <c r="L20" s="192" t="str">
        <f>Q25</f>
        <v>二黒土星</v>
      </c>
      <c r="M20" s="193"/>
      <c r="N20" s="193"/>
      <c r="O20" s="113"/>
      <c r="P20" s="113"/>
      <c r="Q20" s="113"/>
      <c r="R20" s="185" t="s">
        <v>152</v>
      </c>
      <c r="S20" s="186"/>
      <c r="T20" s="113"/>
      <c r="U20" s="113"/>
      <c r="V20" s="113"/>
      <c r="W20" s="113"/>
      <c r="X20" s="113"/>
      <c r="Y20" s="113"/>
      <c r="Z20" s="113"/>
      <c r="AC20" s="115"/>
      <c r="AD20" s="113"/>
      <c r="AE20" s="113"/>
      <c r="AF20" s="113"/>
      <c r="AG20" s="113"/>
      <c r="AH20" s="113"/>
      <c r="AI20" s="185" t="s">
        <v>152</v>
      </c>
      <c r="AJ20" s="206"/>
      <c r="AK20" s="113"/>
      <c r="AL20" s="113"/>
      <c r="AM20" s="121"/>
      <c r="AN20" s="192" t="str">
        <f>AH25</f>
        <v>四緑木星</v>
      </c>
      <c r="AO20" s="193"/>
      <c r="AP20" s="193"/>
      <c r="AQ20" s="113"/>
    </row>
    <row r="21" spans="1:43" s="114" customFormat="1" ht="15.95" customHeight="1" x14ac:dyDescent="0.15">
      <c r="A21"/>
      <c r="B21"/>
      <c r="C21"/>
      <c r="D21"/>
      <c r="E21"/>
      <c r="F21"/>
      <c r="G21"/>
      <c r="H21"/>
      <c r="I21"/>
      <c r="L21" s="115"/>
      <c r="M21" s="113"/>
      <c r="N21" s="113"/>
      <c r="O21" s="113"/>
      <c r="P21" s="113"/>
      <c r="Q21" s="39"/>
      <c r="R21" s="172" t="str">
        <f>吉凶判定表!J55</f>
        <v>中凶</v>
      </c>
      <c r="S21" s="173"/>
      <c r="T21" s="39"/>
      <c r="U21" s="113"/>
      <c r="V21" s="113"/>
      <c r="W21" s="113"/>
      <c r="X21" s="113"/>
      <c r="Y21" s="113"/>
      <c r="Z21" s="113"/>
      <c r="AC21" s="115"/>
      <c r="AD21" s="113"/>
      <c r="AE21" s="113"/>
      <c r="AF21" s="113"/>
      <c r="AG21" s="113"/>
      <c r="AH21" s="39"/>
      <c r="AI21" s="172" t="str">
        <f>吉凶判定表!J56</f>
        <v/>
      </c>
      <c r="AJ21" s="173"/>
      <c r="AK21" s="39"/>
      <c r="AL21" s="113"/>
      <c r="AM21" s="113"/>
      <c r="AN21" s="113"/>
      <c r="AO21" s="113"/>
      <c r="AP21" s="113"/>
      <c r="AQ21" s="113"/>
    </row>
    <row r="22" spans="1:43" s="114" customFormat="1" ht="15.95" customHeight="1" x14ac:dyDescent="0.15">
      <c r="A22"/>
      <c r="B22"/>
      <c r="C22"/>
      <c r="D22"/>
      <c r="E22"/>
      <c r="F22"/>
      <c r="G22"/>
      <c r="H22"/>
      <c r="I22"/>
      <c r="L22" s="115"/>
      <c r="M22" s="113"/>
      <c r="N22" s="113"/>
      <c r="O22" s="94" t="s">
        <v>152</v>
      </c>
      <c r="P22" s="95" t="s">
        <v>152</v>
      </c>
      <c r="Q22" s="3"/>
      <c r="R22" s="174"/>
      <c r="S22" s="175"/>
      <c r="T22" s="3"/>
      <c r="U22" s="83" t="s">
        <v>152</v>
      </c>
      <c r="V22" s="84" t="s">
        <v>152</v>
      </c>
      <c r="W22" s="113"/>
      <c r="X22" s="113"/>
      <c r="Y22" s="113"/>
      <c r="Z22" s="113"/>
      <c r="AC22" s="115"/>
      <c r="AD22" s="113"/>
      <c r="AE22" s="113"/>
      <c r="AF22" s="94" t="s">
        <v>152</v>
      </c>
      <c r="AG22" s="95" t="s">
        <v>152</v>
      </c>
      <c r="AH22" s="3"/>
      <c r="AI22" s="174"/>
      <c r="AJ22" s="175"/>
      <c r="AK22" s="3"/>
      <c r="AL22" s="83" t="s">
        <v>152</v>
      </c>
      <c r="AM22" s="84" t="s">
        <v>152</v>
      </c>
      <c r="AN22" s="113"/>
      <c r="AO22" s="113"/>
      <c r="AP22" s="113"/>
      <c r="AQ22" s="113"/>
    </row>
    <row r="23" spans="1:43" s="114" customFormat="1" ht="15.95" customHeight="1" x14ac:dyDescent="0.15">
      <c r="A23"/>
      <c r="B23"/>
      <c r="C23"/>
      <c r="D23"/>
      <c r="E23"/>
      <c r="F23"/>
      <c r="G23"/>
      <c r="H23"/>
      <c r="I23"/>
      <c r="L23" s="115"/>
      <c r="M23" s="113"/>
      <c r="N23" s="113"/>
      <c r="O23" s="93" t="s">
        <v>235</v>
      </c>
      <c r="P23" s="172" t="str">
        <f>吉凶判定表!U55</f>
        <v>大凶</v>
      </c>
      <c r="Q23" s="173"/>
      <c r="R23" s="100"/>
      <c r="S23" s="101"/>
      <c r="T23" s="172" t="str">
        <f>吉凶判定表!K55</f>
        <v>中吉</v>
      </c>
      <c r="U23" s="173"/>
      <c r="V23" s="25" t="s">
        <v>238</v>
      </c>
      <c r="W23" s="113"/>
      <c r="X23" s="113"/>
      <c r="Y23" s="113"/>
      <c r="Z23" s="113"/>
      <c r="AC23" s="115"/>
      <c r="AD23" s="113"/>
      <c r="AE23" s="113"/>
      <c r="AF23" s="93" t="s">
        <v>235</v>
      </c>
      <c r="AG23" s="172" t="str">
        <f>吉凶判定表!U56</f>
        <v>大凶</v>
      </c>
      <c r="AH23" s="173"/>
      <c r="AI23" s="100"/>
      <c r="AJ23" s="101"/>
      <c r="AK23" s="172" t="str">
        <f>吉凶判定表!K56</f>
        <v/>
      </c>
      <c r="AL23" s="173"/>
      <c r="AM23" s="25" t="s">
        <v>238</v>
      </c>
      <c r="AN23" s="113"/>
      <c r="AO23" s="113"/>
      <c r="AP23" s="113"/>
      <c r="AQ23" s="113"/>
    </row>
    <row r="24" spans="1:43" s="114" customFormat="1" ht="15.95" customHeight="1" x14ac:dyDescent="0.15">
      <c r="A24"/>
      <c r="B24"/>
      <c r="C24"/>
      <c r="D24"/>
      <c r="E24"/>
      <c r="F24"/>
      <c r="G24"/>
      <c r="H24"/>
      <c r="I24"/>
      <c r="L24" s="115"/>
      <c r="M24" s="94" t="s">
        <v>235</v>
      </c>
      <c r="N24" s="95" t="s">
        <v>152</v>
      </c>
      <c r="O24" s="3"/>
      <c r="P24" s="174"/>
      <c r="Q24" s="175"/>
      <c r="R24" s="102"/>
      <c r="S24" s="103"/>
      <c r="T24" s="174"/>
      <c r="U24" s="175"/>
      <c r="V24" s="3"/>
      <c r="W24" s="83" t="s">
        <v>152</v>
      </c>
      <c r="X24" s="84" t="s">
        <v>236</v>
      </c>
      <c r="Y24" s="113"/>
      <c r="Z24" s="113"/>
      <c r="AC24" s="115"/>
      <c r="AD24" s="94" t="s">
        <v>235</v>
      </c>
      <c r="AE24" s="95" t="s">
        <v>152</v>
      </c>
      <c r="AF24" s="3"/>
      <c r="AG24" s="174"/>
      <c r="AH24" s="175"/>
      <c r="AI24" s="102"/>
      <c r="AJ24" s="103"/>
      <c r="AK24" s="174"/>
      <c r="AL24" s="175"/>
      <c r="AM24" s="3"/>
      <c r="AN24" s="83" t="s">
        <v>152</v>
      </c>
      <c r="AO24" s="84" t="s">
        <v>236</v>
      </c>
      <c r="AP24" s="113"/>
      <c r="AQ24" s="113"/>
    </row>
    <row r="25" spans="1:43" s="114" customFormat="1" ht="15.95" customHeight="1" x14ac:dyDescent="0.15">
      <c r="A25"/>
      <c r="B25"/>
      <c r="C25"/>
      <c r="D25"/>
      <c r="E25"/>
      <c r="F25"/>
      <c r="G25"/>
      <c r="H25"/>
      <c r="I25"/>
      <c r="L25" s="115"/>
      <c r="M25" s="93" t="s">
        <v>235</v>
      </c>
      <c r="N25" s="172" t="str">
        <f>吉凶判定表!T55</f>
        <v>中凶</v>
      </c>
      <c r="O25" s="173"/>
      <c r="P25" s="100"/>
      <c r="Q25" s="191" t="str">
        <f>keisan!L3</f>
        <v>二黒土星</v>
      </c>
      <c r="R25" s="179"/>
      <c r="S25" s="179"/>
      <c r="T25" s="179"/>
      <c r="U25" s="101"/>
      <c r="V25" s="172" t="str">
        <f>吉凶判定表!L55</f>
        <v>大吉</v>
      </c>
      <c r="W25" s="173"/>
      <c r="X25" s="19" t="s">
        <v>237</v>
      </c>
      <c r="Y25" s="113"/>
      <c r="Z25" s="113"/>
      <c r="AC25" s="115"/>
      <c r="AD25" s="93" t="s">
        <v>235</v>
      </c>
      <c r="AE25" s="172" t="str">
        <f>吉凶判定表!T56</f>
        <v>大凶</v>
      </c>
      <c r="AF25" s="173"/>
      <c r="AG25" s="100"/>
      <c r="AH25" s="191" t="str">
        <f>keisan!L4</f>
        <v>四緑木星</v>
      </c>
      <c r="AI25" s="179"/>
      <c r="AJ25" s="179"/>
      <c r="AK25" s="179"/>
      <c r="AL25" s="101"/>
      <c r="AM25" s="172" t="str">
        <f>吉凶判定表!L56</f>
        <v>大吉</v>
      </c>
      <c r="AN25" s="173"/>
      <c r="AO25" s="19" t="s">
        <v>237</v>
      </c>
      <c r="AP25" s="113"/>
      <c r="AQ25" s="113"/>
    </row>
    <row r="26" spans="1:43" s="114" customFormat="1" ht="15.95" customHeight="1" x14ac:dyDescent="0.15">
      <c r="A26"/>
      <c r="B26"/>
      <c r="C26"/>
      <c r="D26"/>
      <c r="E26"/>
      <c r="F26"/>
      <c r="G26"/>
      <c r="H26"/>
      <c r="I26"/>
      <c r="L26" s="92"/>
      <c r="M26" s="3"/>
      <c r="N26" s="174"/>
      <c r="O26" s="175"/>
      <c r="P26" s="102"/>
      <c r="Q26" s="178" t="s">
        <v>242</v>
      </c>
      <c r="R26" s="190"/>
      <c r="S26" s="190"/>
      <c r="T26" s="190"/>
      <c r="U26" s="103"/>
      <c r="V26" s="174"/>
      <c r="W26" s="175"/>
      <c r="X26" s="3"/>
      <c r="Y26" s="79"/>
      <c r="Z26" s="113"/>
      <c r="AC26" s="92"/>
      <c r="AD26" s="3"/>
      <c r="AE26" s="174"/>
      <c r="AF26" s="175"/>
      <c r="AG26" s="102"/>
      <c r="AH26" s="178" t="s">
        <v>242</v>
      </c>
      <c r="AI26" s="190"/>
      <c r="AJ26" s="190"/>
      <c r="AK26" s="190"/>
      <c r="AL26" s="103"/>
      <c r="AM26" s="174"/>
      <c r="AN26" s="175"/>
      <c r="AO26" s="3"/>
      <c r="AP26" s="79"/>
      <c r="AQ26" s="113"/>
    </row>
    <row r="27" spans="1:43" s="114" customFormat="1" ht="15.95" customHeight="1" x14ac:dyDescent="0.15">
      <c r="A27"/>
      <c r="B27"/>
      <c r="C27"/>
      <c r="D27"/>
      <c r="E27"/>
      <c r="F27"/>
      <c r="G27"/>
      <c r="H27"/>
      <c r="I27"/>
      <c r="K27" s="176" t="s">
        <v>235</v>
      </c>
      <c r="L27" s="172" t="str">
        <f>吉凶判定表!S55</f>
        <v/>
      </c>
      <c r="M27" s="173"/>
      <c r="N27" s="187" t="str">
        <f>IF(吉凶判定表!I$22=0,"★★★★★★★★★★",IF(吉凶判定表!I$22=1,"★■■■■■■■★",IF(吉凶判定表!I$22=2,"■■■■■■■■",IF(吉凶判定表!I$22=3,"■■■■■■■",IF(吉凶判定表!I$22=4,"■■■■■■",IF(吉凶判定表!I$22=5,"■■■■■",IF(吉凶判定表!I$22=6,"■■■■",IF(吉凶判定表!I$22=7,"■■","月盤"))))))))</f>
        <v>月盤</v>
      </c>
      <c r="O27" s="188"/>
      <c r="P27" s="188"/>
      <c r="Q27" s="188"/>
      <c r="R27" s="188"/>
      <c r="S27" s="188"/>
      <c r="T27" s="188"/>
      <c r="U27" s="188"/>
      <c r="V27" s="188"/>
      <c r="W27" s="189"/>
      <c r="X27" s="172" t="str">
        <f>吉凶判定表!M55</f>
        <v/>
      </c>
      <c r="Y27" s="173"/>
      <c r="Z27" s="184" t="s">
        <v>214</v>
      </c>
      <c r="AB27" s="176" t="s">
        <v>235</v>
      </c>
      <c r="AC27" s="172" t="str">
        <f>吉凶判定表!S56</f>
        <v>中凶</v>
      </c>
      <c r="AD27" s="173"/>
      <c r="AE27" s="187" t="str">
        <f>IF(吉凶判定表!$I$22=0,"★★★★★★★★★★",IF(吉凶判定表!$I$22=1,"★■■■■■■■★",IF(吉凶判定表!$I$22=2,"■■■■■■■■",IF(吉凶判定表!$I$22=3,"■■■■■■■",IF(吉凶判定表!$I$22=4,"■■■■■■",IF(吉凶判定表!$I$22=5,"■■■■■",IF(吉凶判定表!$I$22=6,"■■■■",IF(吉凶判定表!$I$22=7,"■■","月盤"))))))))</f>
        <v>月盤</v>
      </c>
      <c r="AF27" s="188"/>
      <c r="AG27" s="188"/>
      <c r="AH27" s="188"/>
      <c r="AI27" s="188"/>
      <c r="AJ27" s="188"/>
      <c r="AK27" s="188"/>
      <c r="AL27" s="188"/>
      <c r="AM27" s="188"/>
      <c r="AN27" s="189"/>
      <c r="AO27" s="172" t="str">
        <f>吉凶判定表!M56</f>
        <v>中凶</v>
      </c>
      <c r="AP27" s="173"/>
      <c r="AQ27" s="184" t="s">
        <v>214</v>
      </c>
    </row>
    <row r="28" spans="1:43" s="114" customFormat="1" ht="15.95" customHeight="1" x14ac:dyDescent="0.15">
      <c r="A28"/>
      <c r="B28"/>
      <c r="C28"/>
      <c r="D28"/>
      <c r="E28"/>
      <c r="F28"/>
      <c r="G28"/>
      <c r="H28"/>
      <c r="I28"/>
      <c r="K28" s="177"/>
      <c r="L28" s="174"/>
      <c r="M28" s="175"/>
      <c r="N28" s="187" t="str">
        <f>IF(吉凶判定表!I$22=10,"★★★★★★★★★★",IF(吉凶判定表!I$22=9,"★■■■■■■■★",IF(吉凶判定表!I$22=8,"■■■■■■■■",IF(吉凶判定表!I$22=7,"■■■■■■■",IF(吉凶判定表!I$22=6,"■■■■■■",IF(吉凶判定表!I$22=5,"■■■■■",IF(吉凶判定表!I$22=4,"■■■■",IF(吉凶判定表!I$22=3,"■■■","年盤"))))))))</f>
        <v>■■■■■■■■</v>
      </c>
      <c r="O28" s="196"/>
      <c r="P28" s="196"/>
      <c r="Q28" s="196"/>
      <c r="R28" s="196"/>
      <c r="S28" s="196"/>
      <c r="T28" s="196"/>
      <c r="U28" s="196"/>
      <c r="V28" s="196"/>
      <c r="W28" s="197"/>
      <c r="X28" s="174"/>
      <c r="Y28" s="175"/>
      <c r="Z28" s="179"/>
      <c r="AB28" s="177"/>
      <c r="AC28" s="174"/>
      <c r="AD28" s="175"/>
      <c r="AE28" s="187" t="str">
        <f>IF(吉凶判定表!I$22=10,"★★★★★★★★★★",IF(吉凶判定表!I$22=9,"★■■■■■■■★",IF(吉凶判定表!I$22=8,"■■■■■■■■",IF(吉凶判定表!I$22=7,"■■■■■■■",IF(吉凶判定表!I$22=6,"■■■■■■",IF(吉凶判定表!I$22=5,"■■■■■",IF(吉凶判定表!I$22=4,"■■■■",IF(吉凶判定表!I$22=3,"■■■","年盤"))))))))</f>
        <v>■■■■■■■■</v>
      </c>
      <c r="AF28" s="202"/>
      <c r="AG28" s="202"/>
      <c r="AH28" s="202"/>
      <c r="AI28" s="202"/>
      <c r="AJ28" s="202"/>
      <c r="AK28" s="202"/>
      <c r="AL28" s="202"/>
      <c r="AM28" s="202"/>
      <c r="AN28" s="203"/>
      <c r="AO28" s="174"/>
      <c r="AP28" s="175"/>
      <c r="AQ28" s="179"/>
    </row>
    <row r="29" spans="1:43" s="114" customFormat="1" ht="15.95" customHeight="1" x14ac:dyDescent="0.15">
      <c r="A29"/>
      <c r="B29"/>
      <c r="C29"/>
      <c r="D29"/>
      <c r="E29"/>
      <c r="F29"/>
      <c r="G29"/>
      <c r="H29"/>
      <c r="I29"/>
      <c r="K29" s="120"/>
      <c r="L29" s="91"/>
      <c r="M29" s="82"/>
      <c r="N29" s="172" t="str">
        <f>吉凶判定表!R55</f>
        <v/>
      </c>
      <c r="O29" s="181"/>
      <c r="P29" s="104"/>
      <c r="Q29" s="178" t="s">
        <v>243</v>
      </c>
      <c r="R29" s="179"/>
      <c r="S29" s="179"/>
      <c r="T29" s="179"/>
      <c r="U29" s="106"/>
      <c r="V29" s="172" t="str">
        <f>吉凶判定表!N55</f>
        <v>大凶</v>
      </c>
      <c r="W29" s="173"/>
      <c r="X29" s="3"/>
      <c r="Y29" s="80"/>
      <c r="Z29" s="113"/>
      <c r="AB29" s="120"/>
      <c r="AC29" s="91"/>
      <c r="AD29" s="82"/>
      <c r="AE29" s="172" t="str">
        <f>吉凶判定表!R56</f>
        <v/>
      </c>
      <c r="AF29" s="181"/>
      <c r="AG29" s="104"/>
      <c r="AH29" s="178" t="s">
        <v>243</v>
      </c>
      <c r="AI29" s="179"/>
      <c r="AJ29" s="179"/>
      <c r="AK29" s="179"/>
      <c r="AL29" s="106"/>
      <c r="AM29" s="172" t="str">
        <f>吉凶判定表!N56</f>
        <v>大凶</v>
      </c>
      <c r="AN29" s="173"/>
      <c r="AO29" s="3"/>
      <c r="AP29" s="80"/>
      <c r="AQ29" s="113"/>
    </row>
    <row r="30" spans="1:43" s="114" customFormat="1" ht="15.95" customHeight="1" x14ac:dyDescent="0.15">
      <c r="A30"/>
      <c r="B30"/>
      <c r="C30"/>
      <c r="D30"/>
      <c r="E30"/>
      <c r="F30"/>
      <c r="G30"/>
      <c r="H30"/>
      <c r="I30"/>
      <c r="L30" s="115"/>
      <c r="M30" s="89" t="s">
        <v>239</v>
      </c>
      <c r="N30" s="182"/>
      <c r="O30" s="183"/>
      <c r="P30" s="105"/>
      <c r="Q30" s="194">
        <f>keisan!$Z$6</f>
        <v>44479</v>
      </c>
      <c r="R30" s="195"/>
      <c r="S30" s="195"/>
      <c r="T30" s="195"/>
      <c r="U30" s="107"/>
      <c r="V30" s="174"/>
      <c r="W30" s="175"/>
      <c r="X30" s="85" t="s">
        <v>241</v>
      </c>
      <c r="Y30" s="113"/>
      <c r="Z30" s="113"/>
      <c r="AC30" s="115"/>
      <c r="AD30" s="89" t="s">
        <v>239</v>
      </c>
      <c r="AE30" s="182"/>
      <c r="AF30" s="183"/>
      <c r="AG30" s="105"/>
      <c r="AH30" s="194">
        <f>keisan!$Z$6</f>
        <v>44479</v>
      </c>
      <c r="AI30" s="195"/>
      <c r="AJ30" s="195"/>
      <c r="AK30" s="195"/>
      <c r="AL30" s="107"/>
      <c r="AM30" s="174"/>
      <c r="AN30" s="175"/>
      <c r="AO30" s="85" t="s">
        <v>241</v>
      </c>
      <c r="AP30" s="113"/>
      <c r="AQ30" s="113"/>
    </row>
    <row r="31" spans="1:43" s="114" customFormat="1" ht="15.95" customHeight="1" x14ac:dyDescent="0.15">
      <c r="A31"/>
      <c r="B31"/>
      <c r="C31"/>
      <c r="D31"/>
      <c r="E31"/>
      <c r="F31"/>
      <c r="G31"/>
      <c r="H31"/>
      <c r="I31"/>
      <c r="L31" s="115"/>
      <c r="M31" s="90" t="s">
        <v>235</v>
      </c>
      <c r="N31" s="88" t="s">
        <v>240</v>
      </c>
      <c r="O31" s="3"/>
      <c r="P31" s="172" t="str">
        <f>吉凶判定表!Q55</f>
        <v>中凶</v>
      </c>
      <c r="Q31" s="173"/>
      <c r="R31" s="104"/>
      <c r="S31" s="106"/>
      <c r="T31" s="172" t="str">
        <f>吉凶判定表!O55</f>
        <v>中凶</v>
      </c>
      <c r="U31" s="173"/>
      <c r="V31" s="3"/>
      <c r="W31" s="86" t="s">
        <v>240</v>
      </c>
      <c r="X31" s="87" t="s">
        <v>241</v>
      </c>
      <c r="Y31" s="113"/>
      <c r="Z31" s="113"/>
      <c r="AC31" s="115"/>
      <c r="AD31" s="90" t="s">
        <v>235</v>
      </c>
      <c r="AE31" s="88" t="s">
        <v>240</v>
      </c>
      <c r="AF31" s="3"/>
      <c r="AG31" s="172" t="str">
        <f>吉凶判定表!Q56</f>
        <v/>
      </c>
      <c r="AH31" s="173"/>
      <c r="AI31" s="104"/>
      <c r="AJ31" s="106"/>
      <c r="AK31" s="172" t="str">
        <f>吉凶判定表!O56</f>
        <v>大凶</v>
      </c>
      <c r="AL31" s="173"/>
      <c r="AM31" s="3"/>
      <c r="AN31" s="86" t="s">
        <v>240</v>
      </c>
      <c r="AO31" s="87" t="s">
        <v>241</v>
      </c>
      <c r="AP31" s="113"/>
      <c r="AQ31" s="113"/>
    </row>
    <row r="32" spans="1:43" s="114" customFormat="1" ht="15.95" customHeight="1" x14ac:dyDescent="0.15">
      <c r="A32"/>
      <c r="B32"/>
      <c r="C32"/>
      <c r="D32"/>
      <c r="E32"/>
      <c r="F32"/>
      <c r="G32"/>
      <c r="H32"/>
      <c r="I32"/>
      <c r="L32" s="115"/>
      <c r="M32" s="113"/>
      <c r="N32" s="113"/>
      <c r="O32" s="89" t="s">
        <v>239</v>
      </c>
      <c r="P32" s="174"/>
      <c r="Q32" s="175"/>
      <c r="R32" s="105"/>
      <c r="S32" s="107"/>
      <c r="T32" s="174"/>
      <c r="U32" s="175"/>
      <c r="V32" s="85" t="s">
        <v>240</v>
      </c>
      <c r="W32" s="113"/>
      <c r="X32" s="113"/>
      <c r="Y32" s="113"/>
      <c r="Z32" s="113"/>
      <c r="AC32" s="115"/>
      <c r="AD32" s="113"/>
      <c r="AE32" s="113"/>
      <c r="AF32" s="89" t="s">
        <v>239</v>
      </c>
      <c r="AG32" s="174"/>
      <c r="AH32" s="175"/>
      <c r="AI32" s="105"/>
      <c r="AJ32" s="107"/>
      <c r="AK32" s="174"/>
      <c r="AL32" s="175"/>
      <c r="AM32" s="85" t="s">
        <v>240</v>
      </c>
      <c r="AN32" s="113"/>
      <c r="AO32" s="113"/>
      <c r="AP32" s="113"/>
      <c r="AQ32" s="113"/>
    </row>
    <row r="33" spans="1:43" s="114" customFormat="1" ht="15.95" customHeight="1" x14ac:dyDescent="0.15">
      <c r="A33"/>
      <c r="B33"/>
      <c r="C33"/>
      <c r="D33"/>
      <c r="E33"/>
      <c r="F33"/>
      <c r="G33"/>
      <c r="H33"/>
      <c r="I33"/>
      <c r="L33" s="115"/>
      <c r="M33" s="113"/>
      <c r="N33" s="113"/>
      <c r="O33" s="90" t="s">
        <v>240</v>
      </c>
      <c r="P33" s="88" t="s">
        <v>240</v>
      </c>
      <c r="Q33" s="3"/>
      <c r="R33" s="172" t="str">
        <f>吉凶判定表!P55</f>
        <v/>
      </c>
      <c r="S33" s="173"/>
      <c r="T33" s="3"/>
      <c r="U33" s="86" t="s">
        <v>221</v>
      </c>
      <c r="V33" s="87" t="s">
        <v>241</v>
      </c>
      <c r="W33" s="113"/>
      <c r="X33" s="113"/>
      <c r="Y33" s="113"/>
      <c r="Z33" s="113"/>
      <c r="AC33" s="115"/>
      <c r="AD33" s="113"/>
      <c r="AE33" s="113"/>
      <c r="AF33" s="90" t="s">
        <v>240</v>
      </c>
      <c r="AG33" s="88" t="s">
        <v>240</v>
      </c>
      <c r="AH33" s="3"/>
      <c r="AI33" s="172" t="str">
        <f>吉凶判定表!P56</f>
        <v>大吉</v>
      </c>
      <c r="AJ33" s="173"/>
      <c r="AK33" s="3"/>
      <c r="AL33" s="86" t="s">
        <v>221</v>
      </c>
      <c r="AM33" s="87" t="s">
        <v>241</v>
      </c>
      <c r="AN33" s="113"/>
      <c r="AO33" s="113"/>
      <c r="AP33" s="113"/>
      <c r="AQ33" s="113"/>
    </row>
    <row r="34" spans="1:43" s="114" customFormat="1" ht="15.95" customHeight="1" x14ac:dyDescent="0.15">
      <c r="A34"/>
      <c r="B34"/>
      <c r="C34"/>
      <c r="D34"/>
      <c r="E34"/>
      <c r="F34"/>
      <c r="G34"/>
      <c r="H34"/>
      <c r="I34"/>
      <c r="L34" s="115"/>
      <c r="M34" s="113"/>
      <c r="N34" s="113"/>
      <c r="O34" s="113"/>
      <c r="P34" s="113"/>
      <c r="Q34" s="81"/>
      <c r="R34" s="174"/>
      <c r="S34" s="175"/>
      <c r="T34" s="81"/>
      <c r="U34" s="113"/>
      <c r="V34" s="113"/>
      <c r="W34" s="113"/>
      <c r="X34" s="113"/>
      <c r="Y34" s="113"/>
      <c r="Z34" s="113"/>
      <c r="AC34" s="115"/>
      <c r="AD34" s="113"/>
      <c r="AE34" s="113"/>
      <c r="AF34" s="113"/>
      <c r="AG34" s="113"/>
      <c r="AH34" s="81"/>
      <c r="AI34" s="174"/>
      <c r="AJ34" s="175"/>
      <c r="AK34" s="81"/>
      <c r="AL34" s="113"/>
      <c r="AM34" s="113"/>
      <c r="AN34" s="113"/>
      <c r="AO34" s="113"/>
      <c r="AP34" s="113"/>
      <c r="AQ34" s="113"/>
    </row>
    <row r="35" spans="1:43" s="114" customFormat="1" ht="15.95" customHeight="1" x14ac:dyDescent="0.15">
      <c r="A35"/>
      <c r="B35"/>
      <c r="C35"/>
      <c r="D35"/>
      <c r="E35"/>
      <c r="F35"/>
      <c r="G35"/>
      <c r="H35"/>
      <c r="I35"/>
      <c r="L35" s="115"/>
      <c r="M35" s="113"/>
      <c r="N35" s="113"/>
      <c r="O35" s="113"/>
      <c r="P35" s="113"/>
      <c r="Q35" s="113"/>
      <c r="R35" s="180" t="s">
        <v>221</v>
      </c>
      <c r="S35" s="180"/>
      <c r="T35" s="113"/>
      <c r="U35" s="113"/>
      <c r="V35" s="113"/>
      <c r="W35" s="113"/>
      <c r="X35" s="113"/>
      <c r="Y35" s="113"/>
      <c r="Z35" s="113"/>
      <c r="AC35" s="115"/>
      <c r="AD35" s="113"/>
      <c r="AE35" s="113"/>
      <c r="AF35" s="113"/>
      <c r="AG35" s="113"/>
      <c r="AH35" s="113"/>
      <c r="AI35" s="180" t="s">
        <v>221</v>
      </c>
      <c r="AJ35" s="180"/>
      <c r="AK35" s="113"/>
      <c r="AL35" s="113"/>
      <c r="AM35" s="113"/>
      <c r="AN35" s="113"/>
      <c r="AO35" s="113"/>
      <c r="AP35" s="113"/>
      <c r="AQ35" s="113"/>
    </row>
    <row r="36" spans="1:43" s="114" customFormat="1" ht="15.95" customHeight="1" x14ac:dyDescent="0.15">
      <c r="A36"/>
      <c r="B36"/>
      <c r="C36"/>
      <c r="D36"/>
      <c r="E36"/>
      <c r="F36"/>
      <c r="G36"/>
      <c r="H36"/>
      <c r="I36"/>
      <c r="L36" s="162" t="s">
        <v>346</v>
      </c>
      <c r="M36" s="113"/>
      <c r="N36" s="113"/>
      <c r="O36" s="113"/>
      <c r="P36" s="113"/>
      <c r="Q36" s="113"/>
      <c r="R36" s="113"/>
      <c r="S36" s="113"/>
      <c r="U36" s="113"/>
      <c r="V36" s="113"/>
      <c r="W36" s="113"/>
      <c r="X36" s="113"/>
      <c r="Y36" s="113"/>
      <c r="Z36" s="113"/>
    </row>
    <row r="37" spans="1:43" ht="15.95" customHeight="1" x14ac:dyDescent="0.15">
      <c r="L37" s="4"/>
    </row>
    <row r="38" spans="1:43" ht="15.95" customHeight="1" x14ac:dyDescent="0.15">
      <c r="L38" s="210" t="s">
        <v>282</v>
      </c>
      <c r="M38" s="211"/>
      <c r="N38" s="211"/>
      <c r="O38" s="211"/>
      <c r="P38" s="212"/>
      <c r="S38" s="210" t="s">
        <v>282</v>
      </c>
      <c r="T38" s="211"/>
      <c r="U38" s="211"/>
      <c r="V38" s="211"/>
      <c r="W38" s="212"/>
      <c r="AB38" s="140" t="s">
        <v>339</v>
      </c>
      <c r="AC38" s="141"/>
      <c r="AD38" s="34"/>
      <c r="AE38" s="34"/>
      <c r="AF38" s="34"/>
      <c r="AG38" s="142"/>
      <c r="AH38" s="35"/>
      <c r="AK38" s="213" t="s">
        <v>325</v>
      </c>
      <c r="AL38" s="214"/>
      <c r="AM38" s="214"/>
      <c r="AN38" s="214"/>
      <c r="AO38" s="214"/>
      <c r="AP38" s="214"/>
    </row>
    <row r="39" spans="1:43" ht="15.95" customHeight="1" x14ac:dyDescent="0.15">
      <c r="J39" s="145" t="s">
        <v>307</v>
      </c>
      <c r="L39" s="243">
        <v>9869</v>
      </c>
      <c r="M39" s="244"/>
      <c r="N39" s="244"/>
      <c r="O39" s="244"/>
      <c r="P39" s="245"/>
      <c r="Q39" s="170" t="s">
        <v>307</v>
      </c>
      <c r="R39" s="171"/>
      <c r="S39" s="219">
        <v>54792</v>
      </c>
      <c r="T39" s="220"/>
      <c r="U39" s="220"/>
      <c r="V39" s="220"/>
      <c r="W39" s="221"/>
      <c r="AB39" s="140" t="s">
        <v>331</v>
      </c>
      <c r="AC39" s="141"/>
      <c r="AD39" s="34"/>
      <c r="AE39" s="34"/>
      <c r="AF39" s="34"/>
      <c r="AG39" s="142"/>
      <c r="AH39" s="35"/>
      <c r="AK39" s="214"/>
      <c r="AL39" s="214"/>
      <c r="AM39" s="214"/>
      <c r="AN39" s="214"/>
      <c r="AO39" s="214"/>
      <c r="AP39" s="214"/>
    </row>
    <row r="40" spans="1:43" ht="15.95" customHeight="1" x14ac:dyDescent="0.15">
      <c r="J40" s="97"/>
      <c r="K40" s="97"/>
      <c r="L40" s="216">
        <f>L39</f>
        <v>9869</v>
      </c>
      <c r="M40" s="217"/>
      <c r="N40" s="217"/>
      <c r="O40" s="217"/>
      <c r="P40" s="218"/>
      <c r="Q40" s="98"/>
      <c r="R40" s="98"/>
      <c r="S40" s="216">
        <f>S39</f>
        <v>54792</v>
      </c>
      <c r="T40" s="217"/>
      <c r="U40" s="217"/>
      <c r="V40" s="217"/>
      <c r="W40" s="218"/>
      <c r="X40" s="98"/>
      <c r="Y40" s="98"/>
      <c r="Z40" s="98"/>
      <c r="AA40" s="97"/>
      <c r="AB40" s="140" t="s">
        <v>332</v>
      </c>
      <c r="AC40" s="141"/>
      <c r="AD40" s="34"/>
      <c r="AE40" s="34"/>
      <c r="AF40" s="34"/>
      <c r="AG40" s="142"/>
      <c r="AH40" s="35"/>
      <c r="AK40" s="214"/>
      <c r="AL40" s="214"/>
      <c r="AM40" s="214"/>
      <c r="AN40" s="214"/>
      <c r="AO40" s="214"/>
      <c r="AP40" s="214"/>
    </row>
    <row r="41" spans="1:43" ht="15.95" customHeight="1" x14ac:dyDescent="0.15">
      <c r="J41" s="97"/>
      <c r="K41" s="97"/>
      <c r="L41" s="98"/>
      <c r="M41" s="98"/>
      <c r="N41" s="98"/>
      <c r="O41" s="98"/>
      <c r="P41" s="98"/>
      <c r="Q41" s="98"/>
      <c r="R41" s="98"/>
      <c r="S41" s="98"/>
      <c r="T41" s="97"/>
      <c r="U41" s="98"/>
      <c r="V41" s="98"/>
      <c r="W41" s="98"/>
      <c r="X41" s="98"/>
      <c r="Y41" s="98"/>
      <c r="Z41" s="98"/>
      <c r="AA41" s="97"/>
      <c r="AB41" s="140" t="s">
        <v>334</v>
      </c>
      <c r="AC41" s="141"/>
      <c r="AD41" s="34"/>
      <c r="AE41" s="34"/>
      <c r="AF41" s="34"/>
      <c r="AG41" s="142"/>
      <c r="AH41" s="35"/>
      <c r="AK41" s="214"/>
      <c r="AL41" s="214"/>
      <c r="AM41" s="214"/>
      <c r="AN41" s="214"/>
      <c r="AO41" s="214"/>
      <c r="AP41" s="214"/>
    </row>
    <row r="42" spans="1:43" ht="15.95" customHeight="1" x14ac:dyDescent="0.15">
      <c r="J42" s="97"/>
      <c r="K42" s="97"/>
      <c r="L42" s="215" t="s">
        <v>348</v>
      </c>
      <c r="M42" s="214"/>
      <c r="N42" s="214"/>
      <c r="O42" s="214"/>
      <c r="P42" s="214"/>
      <c r="Q42" s="214"/>
      <c r="R42" s="214"/>
      <c r="S42" s="214"/>
      <c r="T42" s="214"/>
      <c r="U42" s="214"/>
      <c r="V42" s="214"/>
      <c r="W42" s="214"/>
      <c r="X42" s="98"/>
      <c r="Y42" s="98"/>
      <c r="Z42" s="98"/>
      <c r="AA42" s="97"/>
      <c r="AB42" s="140" t="s">
        <v>333</v>
      </c>
      <c r="AC42" s="141"/>
      <c r="AD42" s="34"/>
      <c r="AE42" s="34"/>
      <c r="AF42" s="34"/>
      <c r="AG42" s="142"/>
      <c r="AH42" s="35"/>
      <c r="AK42" s="214"/>
      <c r="AL42" s="214"/>
      <c r="AM42" s="214"/>
      <c r="AN42" s="214"/>
      <c r="AO42" s="214"/>
      <c r="AP42" s="214"/>
    </row>
    <row r="43" spans="1:43" ht="15.95" customHeight="1" x14ac:dyDescent="0.15">
      <c r="J43" s="97"/>
      <c r="K43" s="97"/>
      <c r="L43" s="214"/>
      <c r="M43" s="214"/>
      <c r="N43" s="214"/>
      <c r="O43" s="214"/>
      <c r="P43" s="214"/>
      <c r="Q43" s="214"/>
      <c r="R43" s="214"/>
      <c r="S43" s="214"/>
      <c r="T43" s="214"/>
      <c r="U43" s="214"/>
      <c r="V43" s="214"/>
      <c r="W43" s="214"/>
      <c r="X43" s="98"/>
      <c r="Y43" s="98"/>
      <c r="Z43" s="98"/>
      <c r="AA43" s="97"/>
      <c r="AB43" s="140" t="s">
        <v>335</v>
      </c>
      <c r="AC43" s="143"/>
      <c r="AD43" s="34"/>
      <c r="AE43" s="34"/>
      <c r="AF43" s="34"/>
      <c r="AG43" s="142"/>
      <c r="AH43" s="35"/>
      <c r="AK43" s="214"/>
      <c r="AL43" s="214"/>
      <c r="AM43" s="214"/>
      <c r="AN43" s="214"/>
      <c r="AO43" s="214"/>
      <c r="AP43" s="214"/>
    </row>
    <row r="44" spans="1:43" ht="15.95" customHeight="1" x14ac:dyDescent="0.15">
      <c r="J44" s="96"/>
      <c r="K44" s="97"/>
      <c r="L44" s="214"/>
      <c r="M44" s="214"/>
      <c r="N44" s="214"/>
      <c r="O44" s="214"/>
      <c r="P44" s="214"/>
      <c r="Q44" s="214"/>
      <c r="R44" s="214"/>
      <c r="S44" s="214"/>
      <c r="T44" s="214"/>
      <c r="U44" s="214"/>
      <c r="V44" s="214"/>
      <c r="W44" s="214"/>
      <c r="X44" s="99"/>
      <c r="Y44" s="98"/>
      <c r="Z44" s="98"/>
      <c r="AA44" s="96"/>
      <c r="AB44" s="140" t="s">
        <v>336</v>
      </c>
      <c r="AC44" s="143"/>
      <c r="AD44" s="34"/>
      <c r="AE44" s="34"/>
      <c r="AF44" s="34"/>
      <c r="AG44" s="142"/>
      <c r="AH44" s="35"/>
      <c r="AK44" s="214"/>
      <c r="AL44" s="214"/>
      <c r="AM44" s="214"/>
      <c r="AN44" s="214"/>
      <c r="AO44" s="214"/>
      <c r="AP44" s="214"/>
    </row>
    <row r="45" spans="1:43" ht="15.95" customHeight="1" x14ac:dyDescent="0.15">
      <c r="J45" s="97"/>
      <c r="K45" s="97"/>
      <c r="L45" s="214"/>
      <c r="M45" s="214"/>
      <c r="N45" s="214"/>
      <c r="O45" s="214"/>
      <c r="P45" s="214"/>
      <c r="Q45" s="214"/>
      <c r="R45" s="214"/>
      <c r="S45" s="214"/>
      <c r="T45" s="214"/>
      <c r="U45" s="214"/>
      <c r="V45" s="214"/>
      <c r="W45" s="214"/>
      <c r="X45" s="99"/>
      <c r="Y45" s="98"/>
      <c r="Z45" s="98"/>
      <c r="AA45" s="97"/>
      <c r="AB45" s="140" t="s">
        <v>337</v>
      </c>
      <c r="AC45" s="143"/>
      <c r="AD45" s="34"/>
      <c r="AE45" s="34"/>
      <c r="AF45" s="34"/>
      <c r="AG45" s="142"/>
      <c r="AH45" s="35"/>
      <c r="AK45" s="214"/>
      <c r="AL45" s="214"/>
      <c r="AM45" s="214"/>
      <c r="AN45" s="214"/>
      <c r="AO45" s="214"/>
      <c r="AP45" s="214"/>
    </row>
    <row r="46" spans="1:43" ht="15.95" customHeight="1" x14ac:dyDescent="0.15">
      <c r="J46" s="97"/>
      <c r="K46" s="97"/>
      <c r="L46" s="97"/>
      <c r="N46" s="99"/>
      <c r="O46" s="98"/>
      <c r="P46" s="98"/>
      <c r="Q46" s="98"/>
      <c r="R46" s="98"/>
      <c r="S46" s="98"/>
      <c r="T46" s="97"/>
      <c r="U46" s="97"/>
      <c r="V46" s="98"/>
      <c r="W46" s="99"/>
      <c r="X46" s="98"/>
      <c r="Y46" s="98"/>
      <c r="Z46" s="98"/>
      <c r="AA46" s="97"/>
      <c r="AB46" s="140" t="s">
        <v>338</v>
      </c>
      <c r="AC46" s="143"/>
      <c r="AD46" s="34"/>
      <c r="AE46" s="34"/>
      <c r="AF46" s="34"/>
      <c r="AG46" s="142"/>
      <c r="AH46" s="35"/>
      <c r="AK46" s="214"/>
      <c r="AL46" s="214"/>
      <c r="AM46" s="214"/>
      <c r="AN46" s="214"/>
      <c r="AO46" s="214"/>
      <c r="AP46" s="214"/>
    </row>
    <row r="47" spans="1:43" ht="15.95" customHeight="1" x14ac:dyDescent="0.15">
      <c r="J47" s="97"/>
      <c r="K47" s="97"/>
      <c r="L47" s="97"/>
      <c r="N47" s="98"/>
      <c r="O47" s="98"/>
      <c r="P47" s="98"/>
      <c r="Q47" s="98"/>
      <c r="R47" s="98"/>
      <c r="S47" s="98"/>
      <c r="T47" s="97"/>
      <c r="U47" s="97"/>
      <c r="V47" s="98"/>
      <c r="W47" s="98"/>
      <c r="X47" s="98"/>
      <c r="Y47" s="98"/>
      <c r="Z47" s="98"/>
      <c r="AA47" s="97"/>
    </row>
    <row r="48" spans="1:43" ht="15.95" customHeight="1" x14ac:dyDescent="0.15">
      <c r="J48" s="97"/>
      <c r="K48" s="97"/>
      <c r="L48" s="97"/>
      <c r="M48" s="4" t="s">
        <v>283</v>
      </c>
      <c r="N48" s="96"/>
      <c r="O48" s="98"/>
      <c r="P48" s="98"/>
      <c r="Q48" s="98"/>
      <c r="R48" s="98"/>
      <c r="S48" s="98"/>
      <c r="T48" s="98"/>
      <c r="U48" s="98"/>
      <c r="V48" s="98"/>
      <c r="W48" s="96"/>
      <c r="X48" s="98"/>
      <c r="Y48" s="98"/>
      <c r="Z48" s="98"/>
      <c r="AA48" s="97"/>
    </row>
    <row r="49" spans="12:16" ht="15.95" customHeight="1" x14ac:dyDescent="0.15">
      <c r="N49" s="4" t="s">
        <v>284</v>
      </c>
    </row>
    <row r="50" spans="12:16" ht="15.95" customHeight="1" x14ac:dyDescent="0.15">
      <c r="M50" s="4" t="s">
        <v>285</v>
      </c>
    </row>
    <row r="51" spans="12:16" ht="15.95" customHeight="1" x14ac:dyDescent="0.15">
      <c r="M51" s="4" t="s">
        <v>286</v>
      </c>
    </row>
    <row r="52" spans="12:16" ht="15.95" customHeight="1" x14ac:dyDescent="0.15"/>
    <row r="53" spans="12:16" ht="15.95" customHeight="1" x14ac:dyDescent="0.15">
      <c r="M53" s="207" t="s">
        <v>287</v>
      </c>
      <c r="N53" s="208"/>
      <c r="P53" s="4" t="s">
        <v>288</v>
      </c>
    </row>
    <row r="54" spans="12:16" ht="15.95" customHeight="1" x14ac:dyDescent="0.15">
      <c r="P54" s="4" t="s">
        <v>289</v>
      </c>
    </row>
    <row r="55" spans="12:16" ht="15.95" customHeight="1" x14ac:dyDescent="0.15"/>
    <row r="56" spans="12:16" ht="15.95" customHeight="1" x14ac:dyDescent="0.15">
      <c r="M56" s="209" t="s">
        <v>290</v>
      </c>
      <c r="N56" s="209"/>
      <c r="P56" s="4" t="s">
        <v>292</v>
      </c>
    </row>
    <row r="57" spans="12:16" ht="15.95" customHeight="1" x14ac:dyDescent="0.15">
      <c r="P57" s="4" t="s">
        <v>293</v>
      </c>
    </row>
    <row r="58" spans="12:16" ht="15.95" customHeight="1" x14ac:dyDescent="0.15">
      <c r="P58" s="4" t="s">
        <v>294</v>
      </c>
    </row>
    <row r="59" spans="12:16" ht="15.95" customHeight="1" x14ac:dyDescent="0.15">
      <c r="P59" s="4" t="s">
        <v>295</v>
      </c>
    </row>
    <row r="60" spans="12:16" ht="15.95" customHeight="1" x14ac:dyDescent="0.15"/>
    <row r="61" spans="12:16" ht="15.95" customHeight="1" x14ac:dyDescent="0.15">
      <c r="L61" s="148" t="s">
        <v>316</v>
      </c>
      <c r="M61" s="145" t="s">
        <v>308</v>
      </c>
    </row>
    <row r="62" spans="12:16" ht="15.95" customHeight="1" x14ac:dyDescent="0.15">
      <c r="L62" s="145" t="s">
        <v>309</v>
      </c>
    </row>
    <row r="63" spans="12:16" ht="15.95" customHeight="1" x14ac:dyDescent="0.15">
      <c r="L63" s="145" t="s">
        <v>310</v>
      </c>
    </row>
    <row r="64" spans="12:16" ht="15.95" customHeight="1" x14ac:dyDescent="0.15">
      <c r="L64" s="145" t="s">
        <v>311</v>
      </c>
    </row>
    <row r="65" spans="12:37" ht="15.95" customHeight="1" x14ac:dyDescent="0.15">
      <c r="L65" s="145" t="s">
        <v>312</v>
      </c>
    </row>
    <row r="66" spans="12:37" ht="15.95" customHeight="1" x14ac:dyDescent="0.15">
      <c r="L66" s="149" t="s">
        <v>316</v>
      </c>
      <c r="M66" s="145" t="s">
        <v>313</v>
      </c>
    </row>
    <row r="67" spans="12:37" ht="15.95" customHeight="1" x14ac:dyDescent="0.15">
      <c r="L67" s="145" t="s">
        <v>314</v>
      </c>
    </row>
    <row r="68" spans="12:37" ht="15.95" customHeight="1" x14ac:dyDescent="0.15">
      <c r="L68" s="145" t="s">
        <v>315</v>
      </c>
    </row>
    <row r="69" spans="12:37" ht="15.95" customHeight="1" x14ac:dyDescent="0.15"/>
    <row r="70" spans="12:37" ht="15.95" customHeight="1" x14ac:dyDescent="0.15">
      <c r="M70" s="144" t="s">
        <v>296</v>
      </c>
      <c r="O70" s="146" t="s">
        <v>340</v>
      </c>
    </row>
    <row r="71" spans="12:37" ht="15.95" customHeight="1" x14ac:dyDescent="0.15"/>
    <row r="72" spans="12:37" ht="15.95" customHeight="1" x14ac:dyDescent="0.15">
      <c r="N72" s="4" t="s">
        <v>297</v>
      </c>
    </row>
    <row r="73" spans="12:37" ht="15.95" customHeight="1" x14ac:dyDescent="0.15"/>
    <row r="74" spans="12:37" ht="15.95" customHeight="1" x14ac:dyDescent="0.15">
      <c r="W74" s="147" t="s">
        <v>341</v>
      </c>
    </row>
    <row r="75" spans="12:37" ht="15.95" customHeight="1" x14ac:dyDescent="0.15"/>
    <row r="76" spans="12:37" ht="15.95" customHeight="1" x14ac:dyDescent="0.15"/>
    <row r="77" spans="12:37" ht="15.95" customHeight="1" x14ac:dyDescent="0.15">
      <c r="AK77" t="s">
        <v>298</v>
      </c>
    </row>
    <row r="78" spans="12:37" ht="15.95" customHeight="1" x14ac:dyDescent="0.15"/>
    <row r="79" spans="12:37" ht="15.95" customHeight="1" x14ac:dyDescent="0.15"/>
  </sheetData>
  <sheetProtection algorithmName="SHA-512" hashValue="fGLZXTbZJpoDb2VLkvEn9CpvLoDQHxU2A+Kcp4F2gUtU3whJBr6IIKN9EyJ2e/3Ac/j1KlEOwOHrmQA7c+AcfQ==" saltValue="DYrGBOIta3lcTxCxdpkzpw==" spinCount="100000" sheet="1" objects="1" scenarios="1"/>
  <mergeCells count="69">
    <mergeCell ref="M53:N53"/>
    <mergeCell ref="M56:N56"/>
    <mergeCell ref="L38:P38"/>
    <mergeCell ref="S38:W38"/>
    <mergeCell ref="AK38:AP46"/>
    <mergeCell ref="L42:W45"/>
    <mergeCell ref="L39:P39"/>
    <mergeCell ref="L40:P40"/>
    <mergeCell ref="S39:W39"/>
    <mergeCell ref="S40:W40"/>
    <mergeCell ref="AN20:AP20"/>
    <mergeCell ref="M13:N13"/>
    <mergeCell ref="M11:U11"/>
    <mergeCell ref="U13:W13"/>
    <mergeCell ref="AI20:AJ20"/>
    <mergeCell ref="AO27:AP28"/>
    <mergeCell ref="AK31:AL32"/>
    <mergeCell ref="AI33:AJ34"/>
    <mergeCell ref="AI35:AJ35"/>
    <mergeCell ref="Q2:AK3"/>
    <mergeCell ref="L5:AP5"/>
    <mergeCell ref="V7:AF7"/>
    <mergeCell ref="AC9:AD9"/>
    <mergeCell ref="U9:W9"/>
    <mergeCell ref="U14:W14"/>
    <mergeCell ref="AA11:AQ11"/>
    <mergeCell ref="AQ27:AQ28"/>
    <mergeCell ref="AE28:AN28"/>
    <mergeCell ref="AE29:AF30"/>
    <mergeCell ref="AH29:AK29"/>
    <mergeCell ref="AM29:AN30"/>
    <mergeCell ref="AH30:AK30"/>
    <mergeCell ref="AE27:AN27"/>
    <mergeCell ref="N25:O26"/>
    <mergeCell ref="AK23:AL24"/>
    <mergeCell ref="AE25:AF26"/>
    <mergeCell ref="AM25:AN26"/>
    <mergeCell ref="AH26:AK26"/>
    <mergeCell ref="AH25:AK25"/>
    <mergeCell ref="N28:W28"/>
    <mergeCell ref="Q30:T30"/>
    <mergeCell ref="K27:K28"/>
    <mergeCell ref="Z27:Z28"/>
    <mergeCell ref="R20:S20"/>
    <mergeCell ref="X27:Y28"/>
    <mergeCell ref="N27:W27"/>
    <mergeCell ref="P23:Q24"/>
    <mergeCell ref="Q26:T26"/>
    <mergeCell ref="R21:S22"/>
    <mergeCell ref="T23:U24"/>
    <mergeCell ref="V25:W26"/>
    <mergeCell ref="Q25:T25"/>
    <mergeCell ref="L20:N20"/>
    <mergeCell ref="AM3:AP3"/>
    <mergeCell ref="M9:N9"/>
    <mergeCell ref="Q39:R39"/>
    <mergeCell ref="AI21:AJ22"/>
    <mergeCell ref="AG23:AH24"/>
    <mergeCell ref="AB27:AB28"/>
    <mergeCell ref="AC27:AD28"/>
    <mergeCell ref="R33:S34"/>
    <mergeCell ref="P31:Q32"/>
    <mergeCell ref="Q29:T29"/>
    <mergeCell ref="AG31:AH32"/>
    <mergeCell ref="R35:S35"/>
    <mergeCell ref="L27:M28"/>
    <mergeCell ref="V29:W30"/>
    <mergeCell ref="T31:U32"/>
    <mergeCell ref="N29:O30"/>
  </mergeCells>
  <phoneticPr fontId="3"/>
  <conditionalFormatting sqref="R21:S22 T23:U24 V25:W26 X27:Y28 V29:W30 T31:U32 R33:S34 P31:Q32 P23:Q24 L27:M28 N25:O26 N29:O30 AI21:AJ22 AK23:AL24 AM25:AN26 AO27:AP28 AM29:AN30 AK31:AL32 AI33:AJ34 AG31:AH32 AG23:AH24 AC27:AD28 AE25:AF26 AE29:AF30">
    <cfRule type="cellIs" dxfId="17" priority="1" stopIfTrue="1" operator="equal">
      <formula>"大吉"</formula>
    </cfRule>
    <cfRule type="cellIs" dxfId="16" priority="2" stopIfTrue="1" operator="equal">
      <formula>"中凶"</formula>
    </cfRule>
    <cfRule type="cellIs" dxfId="15" priority="3" stopIfTrue="1" operator="equal">
      <formula>"大凶"</formula>
    </cfRule>
  </conditionalFormatting>
  <conditionalFormatting sqref="AE27 N27">
    <cfRule type="cellIs" dxfId="14" priority="4" stopIfTrue="1" operator="equal">
      <formula>"月盤"</formula>
    </cfRule>
  </conditionalFormatting>
  <conditionalFormatting sqref="AE28:AN28 N28">
    <cfRule type="cellIs" dxfId="13" priority="5" stopIfTrue="1" operator="equal">
      <formula>"年盤"</formula>
    </cfRule>
  </conditionalFormatting>
  <dataValidations count="5">
    <dataValidation type="whole" allowBlank="1" showInputMessage="1" showErrorMessage="1" sqref="P13 P9 AF9" xr:uid="{00000000-0002-0000-0000-000000000000}">
      <formula1>1</formula1>
      <formula2>12</formula2>
    </dataValidation>
    <dataValidation type="whole" allowBlank="1" showInputMessage="1" showErrorMessage="1" sqref="AI13" xr:uid="{00000000-0002-0000-0000-000001000000}">
      <formula1>0</formula1>
      <formula2>10</formula2>
    </dataValidation>
    <dataValidation type="whole" allowBlank="1" showInputMessage="1" showErrorMessage="1" sqref="R9 AH9 R13" xr:uid="{00000000-0002-0000-0000-000003000000}">
      <formula1>1</formula1>
      <formula2>31</formula2>
    </dataValidation>
    <dataValidation type="whole" allowBlank="1" showInputMessage="1" showErrorMessage="1" sqref="M13:N13 M9:N9" xr:uid="{00000000-0002-0000-0000-000004000000}">
      <formula1>1927</formula1>
      <formula2>2050</formula2>
    </dataValidation>
    <dataValidation type="whole" allowBlank="1" showInputMessage="1" showErrorMessage="1" sqref="AC9:AD9" xr:uid="{06DCEB8B-9ABE-4C9C-8A64-0C2FCD7CC908}">
      <formula1>1927</formula1>
      <formula2>2051</formula2>
    </dataValidation>
  </dataValidations>
  <pageMargins left="0.75" right="0.75" top="1" bottom="1" header="0.51200000000000001" footer="0.51200000000000001"/>
  <pageSetup paperSize="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1:W68"/>
  <sheetViews>
    <sheetView showGridLines="0" showRowColHeaders="0" topLeftCell="F11" zoomScale="75" workbookViewId="0">
      <selection activeCell="O61" sqref="O61"/>
    </sheetView>
  </sheetViews>
  <sheetFormatPr defaultRowHeight="13.5" x14ac:dyDescent="0.15"/>
  <cols>
    <col min="1" max="5" width="0" hidden="1" customWidth="1"/>
    <col min="6" max="6" width="2.125" customWidth="1"/>
    <col min="7" max="7" width="3.25" style="3" customWidth="1"/>
    <col min="8" max="8" width="8.5" customWidth="1"/>
    <col min="9" max="9" width="11.25" customWidth="1"/>
    <col min="10" max="21" width="6.875" customWidth="1"/>
  </cols>
  <sheetData>
    <row r="1" spans="9:20" hidden="1" x14ac:dyDescent="0.15"/>
    <row r="2" spans="9:20" hidden="1" x14ac:dyDescent="0.15"/>
    <row r="3" spans="9:20" hidden="1" x14ac:dyDescent="0.15"/>
    <row r="4" spans="9:20" hidden="1" x14ac:dyDescent="0.15"/>
    <row r="5" spans="9:20" hidden="1" x14ac:dyDescent="0.15"/>
    <row r="6" spans="9:20" hidden="1" x14ac:dyDescent="0.15"/>
    <row r="7" spans="9:20" hidden="1" x14ac:dyDescent="0.15"/>
    <row r="8" spans="9:20" hidden="1" x14ac:dyDescent="0.15"/>
    <row r="9" spans="9:20" hidden="1" x14ac:dyDescent="0.15"/>
    <row r="10" spans="9:20" hidden="1" x14ac:dyDescent="0.15"/>
    <row r="13" spans="9:20" x14ac:dyDescent="0.15">
      <c r="I13" s="222" t="s">
        <v>345</v>
      </c>
      <c r="J13" s="222"/>
      <c r="K13" s="222"/>
      <c r="L13" s="222"/>
      <c r="M13" s="222"/>
      <c r="N13" s="222"/>
      <c r="O13" s="222"/>
      <c r="P13" s="222"/>
      <c r="Q13" s="222"/>
      <c r="R13" s="222"/>
      <c r="S13" s="222"/>
      <c r="T13" s="222"/>
    </row>
    <row r="14" spans="9:20" x14ac:dyDescent="0.15">
      <c r="I14" s="222"/>
      <c r="J14" s="222"/>
      <c r="K14" s="222"/>
      <c r="L14" s="222"/>
      <c r="M14" s="222"/>
      <c r="N14" s="222"/>
      <c r="O14" s="222"/>
      <c r="P14" s="222"/>
      <c r="Q14" s="222"/>
      <c r="R14" s="222"/>
      <c r="S14" s="222"/>
      <c r="T14" s="222"/>
    </row>
    <row r="16" spans="9:20" hidden="1" x14ac:dyDescent="0.15">
      <c r="I16" s="7" t="s">
        <v>197</v>
      </c>
      <c r="J16" s="3" t="s">
        <v>206</v>
      </c>
      <c r="K16" s="3" t="s">
        <v>207</v>
      </c>
      <c r="O16" t="s">
        <v>224</v>
      </c>
    </row>
    <row r="17" spans="7:23" hidden="1" x14ac:dyDescent="0.15">
      <c r="H17" s="7" t="s">
        <v>211</v>
      </c>
      <c r="I17" s="109">
        <f>九星気学方位盤!M9</f>
        <v>1927</v>
      </c>
      <c r="J17" s="110">
        <f>九星気学方位盤!P9</f>
        <v>1</v>
      </c>
      <c r="K17" s="110">
        <f>九星気学方位盤!R9</f>
        <v>7</v>
      </c>
      <c r="L17" s="38" t="str">
        <f>keisan!L3</f>
        <v>二黒土星</v>
      </c>
      <c r="M17" s="38" t="str">
        <f>TEXT(keisan!M3,"@年生まれ")</f>
        <v>寅年生まれ</v>
      </c>
      <c r="O17" t="s">
        <v>225</v>
      </c>
    </row>
    <row r="18" spans="7:23" hidden="1" x14ac:dyDescent="0.15">
      <c r="H18" s="7" t="s">
        <v>212</v>
      </c>
      <c r="I18" s="109">
        <f>九星気学方位盤!AC9</f>
        <v>2051</v>
      </c>
      <c r="J18" s="110">
        <f>九星気学方位盤!AF9</f>
        <v>1</v>
      </c>
      <c r="K18" s="110">
        <f>九星気学方位盤!AH9</f>
        <v>4</v>
      </c>
      <c r="L18" s="38" t="str">
        <f>keisan!L4</f>
        <v>四緑木星</v>
      </c>
      <c r="M18" s="38" t="str">
        <f>TEXT(keisan!M4,"@年生まれ")</f>
        <v>午年生まれ</v>
      </c>
      <c r="O18" t="s">
        <v>226</v>
      </c>
    </row>
    <row r="19" spans="7:23" hidden="1" x14ac:dyDescent="0.15">
      <c r="I19" s="37" t="s">
        <v>208</v>
      </c>
      <c r="J19" t="s">
        <v>209</v>
      </c>
      <c r="K19" t="s">
        <v>210</v>
      </c>
      <c r="L19" s="38"/>
      <c r="O19" s="38" t="s">
        <v>227</v>
      </c>
    </row>
    <row r="20" spans="7:23" hidden="1" x14ac:dyDescent="0.15">
      <c r="H20" s="7" t="s">
        <v>213</v>
      </c>
      <c r="I20" s="108">
        <f>九星気学方位盤!M13</f>
        <v>2021</v>
      </c>
      <c r="J20" s="111">
        <f>九星気学方位盤!P13</f>
        <v>10</v>
      </c>
      <c r="K20" s="111">
        <f>九星気学方位盤!R13</f>
        <v>10</v>
      </c>
      <c r="L20" s="38" t="str">
        <f>keisan!L6</f>
        <v>六白金星</v>
      </c>
      <c r="M20" s="38" t="str">
        <f>TEXT(keisan!M6,"@年")</f>
        <v>丑年</v>
      </c>
      <c r="N20" s="38" t="str">
        <f>keisan!N6</f>
        <v>六白金星</v>
      </c>
      <c r="O20" s="38" t="str">
        <f>TEXT(keisan!O6,"@月")</f>
        <v>戌月</v>
      </c>
      <c r="P20" s="78" t="s">
        <v>230</v>
      </c>
      <c r="Q20" t="s">
        <v>229</v>
      </c>
    </row>
    <row r="21" spans="7:23" ht="13.5" hidden="1" customHeight="1" x14ac:dyDescent="0.15">
      <c r="H21" t="s">
        <v>234</v>
      </c>
    </row>
    <row r="22" spans="7:23" ht="12" hidden="1" customHeight="1" x14ac:dyDescent="0.15">
      <c r="I22" s="112">
        <f>九星気学方位盤!AI13</f>
        <v>8</v>
      </c>
      <c r="J22" t="s">
        <v>232</v>
      </c>
    </row>
    <row r="23" spans="7:23" ht="11.25" hidden="1" customHeight="1" x14ac:dyDescent="0.15">
      <c r="H23" t="s">
        <v>233</v>
      </c>
    </row>
    <row r="25" spans="7:23" x14ac:dyDescent="0.15">
      <c r="G25" s="11"/>
      <c r="H25" s="12"/>
      <c r="I25" s="11" t="s">
        <v>203</v>
      </c>
      <c r="J25" s="39" t="s">
        <v>152</v>
      </c>
      <c r="K25" s="13" t="s">
        <v>163</v>
      </c>
      <c r="L25" s="13" t="s">
        <v>164</v>
      </c>
      <c r="M25" s="45" t="s">
        <v>214</v>
      </c>
      <c r="N25" s="74" t="s">
        <v>216</v>
      </c>
      <c r="O25" s="74" t="s">
        <v>217</v>
      </c>
      <c r="P25" s="68" t="s">
        <v>221</v>
      </c>
      <c r="Q25" s="51" t="s">
        <v>167</v>
      </c>
      <c r="R25" s="51" t="s">
        <v>168</v>
      </c>
      <c r="S25" s="55" t="s">
        <v>154</v>
      </c>
      <c r="T25" s="60" t="s">
        <v>169</v>
      </c>
      <c r="U25" s="61" t="s">
        <v>170</v>
      </c>
    </row>
    <row r="26" spans="7:23" x14ac:dyDescent="0.15">
      <c r="G26" s="14"/>
      <c r="H26" s="15"/>
      <c r="I26" s="14" t="s">
        <v>195</v>
      </c>
      <c r="J26" s="40" t="s">
        <v>155</v>
      </c>
      <c r="K26" s="223" t="s">
        <v>156</v>
      </c>
      <c r="L26" s="223"/>
      <c r="M26" s="46" t="s">
        <v>157</v>
      </c>
      <c r="N26" s="224" t="s">
        <v>218</v>
      </c>
      <c r="O26" s="224"/>
      <c r="P26" s="69" t="s">
        <v>222</v>
      </c>
      <c r="Q26" s="225" t="s">
        <v>160</v>
      </c>
      <c r="R26" s="225"/>
      <c r="S26" s="56" t="s">
        <v>161</v>
      </c>
      <c r="T26" s="226" t="s">
        <v>162</v>
      </c>
      <c r="U26" s="227"/>
    </row>
    <row r="27" spans="7:23" x14ac:dyDescent="0.15">
      <c r="G27" s="14"/>
      <c r="H27" s="15"/>
      <c r="I27" s="14" t="s">
        <v>200</v>
      </c>
      <c r="J27" s="40" t="s">
        <v>113</v>
      </c>
      <c r="K27" s="16" t="s">
        <v>145</v>
      </c>
      <c r="L27" s="16" t="s">
        <v>146</v>
      </c>
      <c r="M27" s="46" t="s">
        <v>147</v>
      </c>
      <c r="N27" s="43" t="s">
        <v>148</v>
      </c>
      <c r="O27" s="43" t="s">
        <v>149</v>
      </c>
      <c r="P27" s="69" t="s">
        <v>139</v>
      </c>
      <c r="Q27" s="26" t="s">
        <v>141</v>
      </c>
      <c r="R27" s="26" t="s">
        <v>142</v>
      </c>
      <c r="S27" s="56" t="s">
        <v>143</v>
      </c>
      <c r="T27" s="27" t="s">
        <v>144</v>
      </c>
      <c r="U27" s="28" t="s">
        <v>140</v>
      </c>
    </row>
    <row r="28" spans="7:23" x14ac:dyDescent="0.15">
      <c r="G28" s="20"/>
      <c r="H28" s="32"/>
      <c r="I28" s="20" t="s">
        <v>202</v>
      </c>
      <c r="J28" s="41" t="s">
        <v>171</v>
      </c>
      <c r="K28" s="33" t="s">
        <v>172</v>
      </c>
      <c r="L28" s="33" t="s">
        <v>173</v>
      </c>
      <c r="M28" s="47" t="s">
        <v>215</v>
      </c>
      <c r="N28" s="75" t="s">
        <v>219</v>
      </c>
      <c r="O28" s="75" t="s">
        <v>220</v>
      </c>
      <c r="P28" s="70" t="s">
        <v>223</v>
      </c>
      <c r="Q28" s="52" t="s">
        <v>178</v>
      </c>
      <c r="R28" s="52" t="s">
        <v>179</v>
      </c>
      <c r="S28" s="57" t="s">
        <v>180</v>
      </c>
      <c r="T28" s="62" t="s">
        <v>181</v>
      </c>
      <c r="U28" s="63" t="s">
        <v>182</v>
      </c>
    </row>
    <row r="29" spans="7:23" x14ac:dyDescent="0.15">
      <c r="G29" s="31"/>
      <c r="H29" s="235" t="str">
        <f>L20</f>
        <v>六白金星</v>
      </c>
      <c r="I29" s="14" t="s">
        <v>201</v>
      </c>
      <c r="J29" s="42" t="str">
        <f>keisan!C12</f>
        <v>二黒土星</v>
      </c>
      <c r="K29" s="17" t="str">
        <f>keisan!D12</f>
        <v>九紫火星</v>
      </c>
      <c r="L29" s="17" t="str">
        <f>keisan!E12</f>
        <v>九紫火星</v>
      </c>
      <c r="M29" s="48" t="str">
        <f>keisan!F12</f>
        <v>四緑木星</v>
      </c>
      <c r="N29" s="76" t="str">
        <f>keisan!G12</f>
        <v>五黄土星</v>
      </c>
      <c r="O29" s="76" t="str">
        <f>keisan!H12</f>
        <v>五黄土星</v>
      </c>
      <c r="P29" s="71" t="str">
        <f>keisan!I12</f>
        <v>一白水星</v>
      </c>
      <c r="Q29" s="53" t="str">
        <f>keisan!J12</f>
        <v>三碧木星</v>
      </c>
      <c r="R29" s="53" t="str">
        <f>keisan!K12</f>
        <v>三碧木星</v>
      </c>
      <c r="S29" s="58" t="str">
        <f>keisan!L12</f>
        <v>八白土星</v>
      </c>
      <c r="T29" s="64" t="str">
        <f>keisan!M12</f>
        <v>七赤金星</v>
      </c>
      <c r="U29" s="65" t="str">
        <f>keisan!N12</f>
        <v>七赤金星</v>
      </c>
    </row>
    <row r="30" spans="7:23" x14ac:dyDescent="0.15">
      <c r="G30" s="31"/>
      <c r="H30" s="236"/>
      <c r="I30" s="22" t="s">
        <v>205</v>
      </c>
      <c r="J30" s="40" t="str">
        <f>IF(keisan!C13=keisan!AF2,"暗剣殺",IF(keisan!C13=keisan!AF3,"五黄殺","北"))</f>
        <v>北</v>
      </c>
      <c r="K30" s="16" t="str">
        <f>IF(keisan!D13=keisan!AF2,"暗剣殺",IF(keisan!D13=keisan!AF3,"五黄殺","北北東"))</f>
        <v>北北東</v>
      </c>
      <c r="L30" s="16" t="str">
        <f>IF(keisan!E13=keisan!AF2,"暗剣殺",IF(keisan!E13=keisan!AF3,"五黄殺","東北東"))</f>
        <v>東北東</v>
      </c>
      <c r="M30" s="46" t="str">
        <f>IF(keisan!F13=keisan!AF2,"暗剣殺",IF(keisan!F13=keisan!AF3,"五黄殺","東"))</f>
        <v>東</v>
      </c>
      <c r="N30" s="43" t="str">
        <f>IF(keisan!G13=keisan!AF2,"暗剣殺",IF(keisan!G13=keisan!AF3,"五黄殺","東南東"))</f>
        <v>五黄殺</v>
      </c>
      <c r="O30" s="43" t="str">
        <f>IF(keisan!H13=keisan!AF2,"暗剣殺",IF(keisan!H13=keisan!AF3,"五黄殺","南南東"))</f>
        <v>五黄殺</v>
      </c>
      <c r="P30" s="72" t="str">
        <f>IF(keisan!I13=keisan!AF2,"暗剣殺",IF(keisan!I13=keisan!AF3,"五黄殺","南"))</f>
        <v>南</v>
      </c>
      <c r="Q30" s="26" t="str">
        <f>IF(keisan!J13=keisan!AF2,"暗剣殺",IF(keisan!J13=keisan!AF3,"五黄殺","南南西"))</f>
        <v>南南西</v>
      </c>
      <c r="R30" s="26" t="str">
        <f>IF(keisan!K13=keisan!AF2,"暗剣殺",IF(keisan!K13=keisan!AF3,"五黄殺","西南西"))</f>
        <v>西南西</v>
      </c>
      <c r="S30" s="56" t="str">
        <f>IF(keisan!L13=keisan!AF2,"暗剣殺",IF(keisan!L13=keisan!AF3,"五黄殺","西"))</f>
        <v>西</v>
      </c>
      <c r="T30" s="27" t="str">
        <f>IF(keisan!M13=keisan!AF2,"暗剣殺",IF(keisan!M13=keisan!AF3,"五黄殺","西北西"))</f>
        <v>暗剣殺</v>
      </c>
      <c r="U30" s="28" t="str">
        <f>IF(keisan!N13=keisan!AF2,"暗剣殺",IF(keisan!N13=keisan!AF3,"五黄殺","北北西"))</f>
        <v>暗剣殺</v>
      </c>
      <c r="V30" s="7" t="s">
        <v>299</v>
      </c>
      <c r="W30" t="s">
        <v>300</v>
      </c>
    </row>
    <row r="31" spans="7:23" x14ac:dyDescent="0.15">
      <c r="G31" s="31" t="s">
        <v>109</v>
      </c>
      <c r="H31" s="237"/>
      <c r="I31" s="20" t="s">
        <v>133</v>
      </c>
      <c r="J31" s="44" t="str">
        <f>IF(keisan!C14=keisan!AF4,"歳破",IF(OR(keisan!C14=keisan!AF8,keisan!C14=keisan!AF9),"三合","北"))</f>
        <v>北</v>
      </c>
      <c r="K31" s="21" t="str">
        <f>IF(keisan!D14=keisan!AF4,"歳破",IF(OR(keisan!D14=keisan!AF8,keisan!D14=keisan!AF9),"三合","北北東"))</f>
        <v>三合</v>
      </c>
      <c r="L31" s="21" t="str">
        <f>IF(keisan!E14=keisan!AF4,"歳破",IF(OR(keisan!E14=keisan!AF8,keisan!E14=keisan!AF9),"三合","東北東"))</f>
        <v>東北東</v>
      </c>
      <c r="M31" s="49" t="str">
        <f>IF(keisan!F14=keisan!AF4,"歳破",IF(OR(keisan!F14=keisan!AF8,keisan!F14=keisan!AF9),"三合","東"))</f>
        <v>東</v>
      </c>
      <c r="N31" s="77" t="str">
        <f>IF(keisan!G14=keisan!AF4,"歳破",IF(OR(keisan!G14=keisan!AF8,keisan!G14=keisan!AF9),"三合","東南東"))</f>
        <v>東南東</v>
      </c>
      <c r="O31" s="77" t="str">
        <f>IF(keisan!H14=keisan!AF4,"歳破",IF(OR(keisan!H14=keisan!AF8,keisan!H14=keisan!AF9),"三合","南南東"))</f>
        <v>三合</v>
      </c>
      <c r="P31" s="73" t="str">
        <f>IF(keisan!I14=keisan!AF4,"歳破",IF(OR(keisan!I14=keisan!AF8,keisan!I14=keisan!AF9),"三合","南"))</f>
        <v>南</v>
      </c>
      <c r="Q31" s="54" t="str">
        <f>IF(keisan!J14=keisan!AF4,"歳破",IF(OR(keisan!J14=keisan!AF8,keisan!J14=keisan!AF9),"三合","南南西"))</f>
        <v>歳破</v>
      </c>
      <c r="R31" s="54" t="str">
        <f>IF(keisan!K14=keisan!AF4,"歳破",IF(OR(keisan!K14=keisan!AF8,keisan!K14=keisan!AF9),"三合","西南西"))</f>
        <v>西南西</v>
      </c>
      <c r="S31" s="59" t="str">
        <f>IF(keisan!L14=keisan!AF4,"歳破",IF(OR(keisan!L14=keisan!AF8,keisan!L14=keisan!AF9),"三合","西"))</f>
        <v>三合</v>
      </c>
      <c r="T31" s="66" t="str">
        <f>IF(keisan!M14=keisan!AF4,"歳破",IF(OR(keisan!M14=keisan!AF8,keisan!M14=keisan!AF9),"三合","西北西"))</f>
        <v>西北西</v>
      </c>
      <c r="U31" s="67" t="str">
        <f>IF(keisan!N14=keisan!AF4,"歳破",IF(OR(keisan!N14=keisan!AF8,keisan!N14=keisan!AF9),"三合","北北西"))</f>
        <v>北北西</v>
      </c>
    </row>
    <row r="32" spans="7:23" x14ac:dyDescent="0.15">
      <c r="G32" s="31"/>
      <c r="H32" s="233" t="str">
        <f>L17</f>
        <v>二黒土星</v>
      </c>
      <c r="I32" s="14" t="s">
        <v>134</v>
      </c>
      <c r="J32" s="40" t="str">
        <f>IF(keisan!C15=keisan!AF7,"的殺",IF(keisan!C15=keisan!AF6,"本命殺","北"))</f>
        <v>本命殺</v>
      </c>
      <c r="K32" s="16" t="str">
        <f>IF(keisan!D15=keisan!AF7,"的殺",IF(keisan!D15=keisan!AF6,"本命殺","北北東"))</f>
        <v>北北東</v>
      </c>
      <c r="L32" s="16" t="str">
        <f>IF(keisan!E15=keisan!AF7,"的殺",IF(keisan!E15=keisan!AF6,"本命殺","東北東"))</f>
        <v>東北東</v>
      </c>
      <c r="M32" s="46" t="str">
        <f>IF(keisan!F15=keisan!AF7,"的殺",IF(keisan!F15=keisan!AF6,"本命殺","東"))</f>
        <v>東</v>
      </c>
      <c r="N32" s="43" t="str">
        <f>IF(keisan!G15=keisan!AF7,"的殺",IF(keisan!G15=keisan!AF6,"本命殺","東南東"))</f>
        <v>東南東</v>
      </c>
      <c r="O32" s="43" t="str">
        <f>IF(keisan!H15=keisan!AF7,"的殺",IF(keisan!H15=keisan!AF6,"本命殺","南南東"))</f>
        <v>南南東</v>
      </c>
      <c r="P32" s="72" t="str">
        <f>IF(keisan!I15=keisan!AF7,"的殺",IF(keisan!I15=keisan!AF6,"本命殺","南"))</f>
        <v>的殺</v>
      </c>
      <c r="Q32" s="26" t="str">
        <f>IF(keisan!J15=keisan!AF7,"的殺",IF(keisan!J15=keisan!AF6,"本命殺","南南西"))</f>
        <v>南南西</v>
      </c>
      <c r="R32" s="26" t="str">
        <f>IF(keisan!K15=keisan!AF7,"的殺",IF(keisan!K15=keisan!AF6,"本命殺","西南西"))</f>
        <v>西南西</v>
      </c>
      <c r="S32" s="56" t="str">
        <f>IF(keisan!L15=keisan!AF7,"的殺",IF(keisan!L15=keisan!AF6,"本命殺","西"))</f>
        <v>西</v>
      </c>
      <c r="T32" s="27" t="str">
        <f>IF(keisan!M15=keisan!AF7,"的殺",IF(keisan!M15=keisan!AF6,"本命殺","西北西"))</f>
        <v>西北西</v>
      </c>
      <c r="U32" s="28" t="str">
        <f>IF(keisan!N15=keisan!AF7,"的殺",IF(keisan!N15=keisan!AF6,"本命殺","北北西"))</f>
        <v>北北西</v>
      </c>
    </row>
    <row r="33" spans="7:23" x14ac:dyDescent="0.15">
      <c r="G33" s="31"/>
      <c r="H33" s="233"/>
      <c r="I33" s="14" t="s">
        <v>196</v>
      </c>
      <c r="J33" s="40" t="str">
        <f>IF(OR(keisan!C16=1,keisan!C16=2,keisan!C16=3),"相",IF(OR(keisan!C16=-2,keisan!C16=-3),"剋",""))</f>
        <v>相</v>
      </c>
      <c r="K33" s="16" t="str">
        <f>IF(OR(keisan!D16=1,keisan!D16=2,keisan!D16=3),"相",IF(OR(keisan!D16=-2,keisan!D16=-3),"剋",""))</f>
        <v>相</v>
      </c>
      <c r="L33" s="16" t="str">
        <f>IF(OR(keisan!E16=1,keisan!E16=2,keisan!E16=3),"相",IF(OR(keisan!E16=-2,keisan!E16=-3),"剋",""))</f>
        <v>相</v>
      </c>
      <c r="M33" s="25" t="str">
        <f>IF(OR(keisan!F16=1,keisan!F16=2,keisan!F16=3),"相",IF(OR(keisan!F16=-2,keisan!F16=-3),"剋",""))</f>
        <v>剋</v>
      </c>
      <c r="N33" s="43" t="str">
        <f>IF(OR(keisan!G16=1,keisan!G16=2,keisan!G16=3),"相",IF(OR(keisan!G16=-2,keisan!G16=-3),"剋",""))</f>
        <v>相</v>
      </c>
      <c r="O33" s="43" t="str">
        <f>IF(OR(keisan!H16=1,keisan!H16=2,keisan!H16=3),"相",IF(OR(keisan!H16=-2,keisan!H16=-3),"剋",""))</f>
        <v>相</v>
      </c>
      <c r="P33" s="72" t="str">
        <f>IF(OR(keisan!I16=1,keisan!I16=2,keisan!I16=3),"相",IF(OR(keisan!I16=-2,keisan!I16=-3),"剋",""))</f>
        <v>剋</v>
      </c>
      <c r="Q33" s="26" t="str">
        <f>IF(OR(keisan!J16=1,keisan!J16=2,keisan!J16=3),"相",IF(OR(keisan!J16=-2,keisan!J16=-3),"剋",""))</f>
        <v>剋</v>
      </c>
      <c r="R33" s="26" t="str">
        <f>IF(OR(keisan!K16=1,keisan!K16=2,keisan!K16=3),"相",IF(OR(keisan!K16=-2,keisan!K16=-3),"剋",""))</f>
        <v>剋</v>
      </c>
      <c r="S33" s="56" t="str">
        <f>IF(OR(keisan!L16=1,keisan!L16=2,keisan!L16=3),"相",IF(OR(keisan!L16=-2,keisan!L16=-3),"剋",""))</f>
        <v>相</v>
      </c>
      <c r="T33" s="27" t="str">
        <f>IF(OR(keisan!M16=1,keisan!M16=2,keisan!M16=3),"相",IF(OR(keisan!M16=-2,keisan!M16=-3),"剋",""))</f>
        <v>相</v>
      </c>
      <c r="U33" s="28" t="str">
        <f>IF(OR(keisan!N16=1,keisan!N16=2,keisan!N16=3),"相",IF(OR(keisan!N16=-2,keisan!N16=-3),"剋",""))</f>
        <v>相</v>
      </c>
      <c r="V33" s="7" t="s">
        <v>299</v>
      </c>
      <c r="W33" t="s">
        <v>301</v>
      </c>
    </row>
    <row r="34" spans="7:23" x14ac:dyDescent="0.15">
      <c r="G34" s="31"/>
      <c r="H34" s="233"/>
      <c r="I34" s="23" t="s">
        <v>204</v>
      </c>
      <c r="J34" s="29" t="str">
        <f>IF(keisan!C17&gt;=6,"大吉",IF(AND(keisan!C17&gt;=3,keisan!C17&lt;6),"中吉",IF(AND(keisan!C17&lt;-3,keisan!C17&gt;=-6),"中凶",IF(keisan!C17&lt;=-7,"大凶",""))))</f>
        <v>中凶</v>
      </c>
      <c r="K34" s="29" t="str">
        <f>IF(keisan!D17&gt;=6,"大吉",IF(AND(keisan!D17&gt;=3,keisan!D17&lt;6),"中吉",IF(AND(keisan!D17&lt;-3,keisan!D17&gt;=-6),"中凶",IF(keisan!D17&lt;=-7,"大凶",""))))</f>
        <v>大吉</v>
      </c>
      <c r="L34" s="29" t="str">
        <f>IF(keisan!E17&gt;=6,"大吉",IF(AND(keisan!E17&gt;=3,keisan!E17&lt;6),"中吉",IF(AND(keisan!E17&lt;-3,keisan!E17&gt;=-6),"中凶",IF(keisan!E17&lt;=-7,"大凶",""))))</f>
        <v>中吉</v>
      </c>
      <c r="M34" s="29" t="str">
        <f>IF(keisan!F17&gt;=6,"大吉",IF(AND(keisan!F17&gt;=3,keisan!F17&lt;6),"中吉",IF(AND(keisan!F17&lt;-3,keisan!F17&gt;=-6),"中凶",IF(keisan!F17&lt;=-7,"大凶",""))))</f>
        <v/>
      </c>
      <c r="N34" s="29" t="str">
        <f>IF(keisan!G17&gt;=6,"大吉",IF(AND(keisan!G17&gt;=3,keisan!G17&lt;6),"中吉",IF(AND(keisan!G17&lt;-3,keisan!G17&gt;=-6),"中凶",IF(keisan!G17&lt;=-7,"大凶",""))))</f>
        <v>大凶</v>
      </c>
      <c r="O34" s="29" t="str">
        <f>IF(keisan!H17&gt;=6,"大吉",IF(AND(keisan!H17&gt;=3,keisan!H17&lt;6),"中吉",IF(AND(keisan!H17&lt;-3,keisan!H17&gt;=-6),"中凶",IF(keisan!H17&lt;=-7,"大凶",""))))</f>
        <v/>
      </c>
      <c r="P34" s="29" t="str">
        <f>IF(keisan!I17&gt;=6,"大吉",IF(AND(keisan!I17&gt;=3,keisan!I17&lt;6),"中吉",IF(AND(keisan!I17&lt;-3,keisan!I17&gt;=-6),"中凶",IF(keisan!I17&lt;=-7,"大凶",""))))</f>
        <v>中凶</v>
      </c>
      <c r="Q34" s="29" t="str">
        <f>IF(keisan!J17&gt;=6,"大吉",IF(AND(keisan!J17&gt;=3,keisan!J17&lt;6),"中吉",IF(AND(keisan!J17&lt;-3,keisan!J17&gt;=-6),"中凶",IF(keisan!J17&lt;=-7,"大凶",""))))</f>
        <v>大凶</v>
      </c>
      <c r="R34" s="29" t="str">
        <f>IF(keisan!K17&gt;=6,"大吉",IF(AND(keisan!K17&gt;=3,keisan!K17&lt;6),"中吉",IF(AND(keisan!K17&lt;-3,keisan!K17&gt;=-6),"中凶",IF(keisan!K17&lt;=-7,"大凶",""))))</f>
        <v/>
      </c>
      <c r="S34" s="29" t="str">
        <f>IF(keisan!L17&gt;=6,"大吉",IF(AND(keisan!L17&gt;=3,keisan!L17&lt;6),"中吉",IF(AND(keisan!L17&lt;-3,keisan!L17&gt;=-6),"中凶",IF(keisan!L17&lt;=-7,"大凶",""))))</f>
        <v>大吉</v>
      </c>
      <c r="T34" s="29" t="str">
        <f>IF(keisan!M17&gt;=6,"大吉",IF(AND(keisan!M17&gt;=3,keisan!M17&lt;6),"中吉",IF(AND(keisan!M17&lt;-3,keisan!M17&gt;=-6),"中凶",IF(keisan!M17&lt;=-7,"大凶",""))))</f>
        <v>大凶</v>
      </c>
      <c r="U34" s="29" t="str">
        <f>IF(keisan!N17&gt;=6,"大吉",IF(AND(keisan!N17&gt;=3,keisan!N17&lt;6),"中吉",IF(AND(keisan!N17&lt;-3,keisan!N17&gt;=-6),"中凶",IF(keisan!N17&lt;=-7,"大凶",""))))</f>
        <v>大凶</v>
      </c>
    </row>
    <row r="35" spans="7:23" ht="6" customHeight="1" x14ac:dyDescent="0.15">
      <c r="G35" s="18"/>
      <c r="H35" s="34"/>
      <c r="I35" s="34"/>
      <c r="J35" s="34"/>
      <c r="K35" s="34"/>
      <c r="L35" s="34"/>
      <c r="M35" s="34"/>
      <c r="N35" s="34"/>
      <c r="O35" s="34"/>
      <c r="P35" s="34"/>
      <c r="Q35" s="34"/>
      <c r="R35" s="34"/>
      <c r="S35" s="34"/>
      <c r="T35" s="34"/>
      <c r="U35" s="34"/>
    </row>
    <row r="36" spans="7:23" x14ac:dyDescent="0.15">
      <c r="G36" s="31" t="s">
        <v>198</v>
      </c>
      <c r="H36" s="238" t="str">
        <f>L18</f>
        <v>四緑木星</v>
      </c>
      <c r="I36" s="14" t="s">
        <v>134</v>
      </c>
      <c r="J36" s="40" t="str">
        <f>IF(keisan!C19=keisan!AF7,"的殺",IF(keisan!C19=keisan!AF6,"本命殺","北"))</f>
        <v>北</v>
      </c>
      <c r="K36" s="16" t="str">
        <f>IF(keisan!D19=keisan!AF7,"的殺",IF(keisan!D19=keisan!AF6,"本命殺","北北東"))</f>
        <v>北北東</v>
      </c>
      <c r="L36" s="16" t="str">
        <f>IF(keisan!E19=keisan!AF7,"的殺",IF(keisan!E19=keisan!AF6,"本命殺","東北東"))</f>
        <v>東北東</v>
      </c>
      <c r="M36" s="46" t="str">
        <f>IF(keisan!F19=keisan!AF7,"的殺",IF(keisan!F19=keisan!AF6,"本命殺","東"))</f>
        <v>本命殺</v>
      </c>
      <c r="N36" s="43" t="str">
        <f>IF(keisan!G19=keisan!AF7,"的殺",IF(keisan!G19=keisan!AF6,"本命殺","東南東"))</f>
        <v>東南東</v>
      </c>
      <c r="O36" s="43" t="str">
        <f>IF(keisan!H19=keisan!AF7,"的殺",IF(keisan!H19=keisan!AF6,"本命殺","南南東"))</f>
        <v>南南東</v>
      </c>
      <c r="P36" s="72" t="str">
        <f>IF(keisan!I19=keisan!AF7,"的殺",IF(keisan!I19=keisan!AF6,"本命殺","南"))</f>
        <v>南</v>
      </c>
      <c r="Q36" s="26" t="str">
        <f>IF(keisan!J19=keisan!AF7,"的殺",IF(keisan!J19=keisan!AF6,"本命殺","南南西"))</f>
        <v>南南西</v>
      </c>
      <c r="R36" s="26" t="str">
        <f>IF(keisan!K19=keisan!AF7,"的殺",IF(keisan!K19=keisan!AF6,"本命殺","西南西"))</f>
        <v>西南西</v>
      </c>
      <c r="S36" s="56" t="str">
        <f>IF(keisan!L19=keisan!AF7,"的殺",IF(keisan!L19=keisan!AF6,"本命殺","西"))</f>
        <v>的殺</v>
      </c>
      <c r="T36" s="27" t="str">
        <f>IF(keisan!M19=keisan!AF7,"的殺",IF(keisan!M19=keisan!AF6,"本命殺","西北西"))</f>
        <v>西北西</v>
      </c>
      <c r="U36" s="28" t="str">
        <f>IF(keisan!N19=keisan!AF7,"的殺",IF(keisan!N19=keisan!AF6,"本命殺","北北西"))</f>
        <v>北北西</v>
      </c>
    </row>
    <row r="37" spans="7:23" x14ac:dyDescent="0.15">
      <c r="G37" s="31"/>
      <c r="H37" s="238"/>
      <c r="I37" s="14" t="s">
        <v>196</v>
      </c>
      <c r="J37" s="40" t="str">
        <f>IF(OR(keisan!C20=1,keisan!C20=2,keisan!C20=3),"相",IF(OR(keisan!C20=-2,keisan!C20=-3),"剋",""))</f>
        <v>剋</v>
      </c>
      <c r="K37" s="16" t="str">
        <f>IF(OR(keisan!D20=1,keisan!D20=2,keisan!D20=3),"相",IF(OR(keisan!D20=-2,keisan!D20=-3),"剋",""))</f>
        <v>相</v>
      </c>
      <c r="L37" s="16" t="str">
        <f>IF(OR(keisan!E20=1,keisan!E20=2,keisan!E20=3),"相",IF(OR(keisan!E20=-2,keisan!E20=-3),"剋",""))</f>
        <v>相</v>
      </c>
      <c r="M37" s="46" t="str">
        <f>IF(OR(keisan!F20=1,keisan!F20=2,keisan!F20=3),"相",IF(OR(keisan!F20=-2,keisan!F20=-3),"剋",""))</f>
        <v>相</v>
      </c>
      <c r="N37" s="43" t="str">
        <f>IF(OR(keisan!G20=1,keisan!G20=2,keisan!G20=3),"相",IF(OR(keisan!G20=-2,keisan!G20=-3),"剋",""))</f>
        <v>剋</v>
      </c>
      <c r="O37" s="43" t="str">
        <f>IF(OR(keisan!H20=1,keisan!H20=2,keisan!H20=3),"相",IF(OR(keisan!H20=-2,keisan!H20=-3),"剋",""))</f>
        <v>剋</v>
      </c>
      <c r="P37" s="72" t="str">
        <f>IF(OR(keisan!I20=1,keisan!I20=2,keisan!I20=3),"相",IF(OR(keisan!I20=-2,keisan!I20=-3),"剋",""))</f>
        <v>相</v>
      </c>
      <c r="Q37" s="26" t="str">
        <f>IF(OR(keisan!J20=1,keisan!J20=2,keisan!J20=3),"相",IF(OR(keisan!J20=-2,keisan!J20=-3),"剋",""))</f>
        <v>相</v>
      </c>
      <c r="R37" s="26" t="str">
        <f>IF(OR(keisan!K20=1,keisan!K20=2,keisan!K20=3),"相",IF(OR(keisan!K20=-2,keisan!K20=-3),"剋",""))</f>
        <v>相</v>
      </c>
      <c r="S37" s="56" t="str">
        <f>IF(OR(keisan!L20=1,keisan!L20=2,keisan!L20=3),"相",IF(OR(keisan!L20=-2,keisan!L20=-3),"剋",""))</f>
        <v>剋</v>
      </c>
      <c r="T37" s="27" t="str">
        <f>IF(OR(keisan!M20=1,keisan!M20=2,keisan!M20=3),"相",IF(OR(keisan!M20=-2,keisan!M20=-3),"剋",""))</f>
        <v>剋</v>
      </c>
      <c r="U37" s="28" t="str">
        <f>IF(OR(keisan!N20=1,keisan!N20=2,keisan!N20=3),"相",IF(OR(keisan!N20=-2,keisan!N20=-3),"剋",""))</f>
        <v>剋</v>
      </c>
      <c r="V37" s="7" t="s">
        <v>299</v>
      </c>
      <c r="W37" t="s">
        <v>302</v>
      </c>
    </row>
    <row r="38" spans="7:23" x14ac:dyDescent="0.15">
      <c r="G38" s="31"/>
      <c r="H38" s="238"/>
      <c r="I38" s="23" t="s">
        <v>204</v>
      </c>
      <c r="J38" s="29" t="str">
        <f>IF(keisan!C21&gt;=6,"大吉",IF(AND(keisan!C21&gt;=3,keisan!C21&lt;6),"中吉",IF(AND(keisan!C21&lt;-3,keisan!C21&gt;=-6),"中凶",IF(keisan!C21&lt;=-7,"大凶",""))))</f>
        <v/>
      </c>
      <c r="K38" s="29" t="str">
        <f>IF(keisan!D21&gt;=6,"大吉",IF(AND(keisan!D21&gt;=3,keisan!D21&lt;6),"中吉",IF(AND(keisan!D21&lt;-3,keisan!D21&gt;=-6),"中凶",IF(keisan!D21&lt;=-7,"大凶",""))))</f>
        <v>大吉</v>
      </c>
      <c r="L38" s="29" t="str">
        <f>IF(keisan!E21&gt;=6,"大吉",IF(AND(keisan!E21&gt;=3,keisan!E21&lt;6),"中吉",IF(AND(keisan!E21&lt;-3,keisan!E21&gt;=-6),"中凶",IF(keisan!E21&lt;=-7,"大凶",""))))</f>
        <v/>
      </c>
      <c r="M38" s="29" t="str">
        <f>IF(keisan!F21&gt;=6,"大吉",IF(AND(keisan!F21&gt;=3,keisan!F21&lt;6),"中吉",IF(AND(keisan!F21&lt;-3,keisan!F21&gt;=-6),"中凶",IF(keisan!F21&lt;=-7,"大凶",""))))</f>
        <v>中凶</v>
      </c>
      <c r="N38" s="29" t="str">
        <f>IF(keisan!G21&gt;=6,"大吉",IF(AND(keisan!G21&gt;=3,keisan!G21&lt;6),"中吉",IF(AND(keisan!G21&lt;-3,keisan!G21&gt;=-6),"中凶",IF(keisan!G21&lt;=-7,"大凶",""))))</f>
        <v>大凶</v>
      </c>
      <c r="O38" s="29" t="str">
        <f>IF(keisan!H21&gt;=6,"大吉",IF(AND(keisan!H21&gt;=3,keisan!H21&lt;6),"中吉",IF(AND(keisan!H21&lt;-3,keisan!H21&gt;=-6),"中凶",IF(keisan!H21&lt;=-7,"大凶",""))))</f>
        <v>中凶</v>
      </c>
      <c r="P38" s="29" t="str">
        <f>IF(keisan!I21&gt;=6,"大吉",IF(AND(keisan!I21&gt;=3,keisan!I21&lt;6),"中吉",IF(AND(keisan!I21&lt;-3,keisan!I21&gt;=-6),"中凶",IF(keisan!I21&lt;=-7,"大凶",""))))</f>
        <v>中吉</v>
      </c>
      <c r="Q38" s="29" t="str">
        <f>IF(keisan!J21&gt;=6,"大吉",IF(AND(keisan!J21&gt;=3,keisan!J21&lt;6),"中吉",IF(AND(keisan!J21&lt;-3,keisan!J21&gt;=-6),"中凶",IF(keisan!J21&lt;=-7,"大凶",""))))</f>
        <v>中凶</v>
      </c>
      <c r="R38" s="29" t="str">
        <f>IF(keisan!K21&gt;=6,"大吉",IF(AND(keisan!K21&gt;=3,keisan!K21&lt;6),"中吉",IF(AND(keisan!K21&lt;-3,keisan!K21&gt;=-6),"中凶",IF(keisan!K21&lt;=-7,"大凶",""))))</f>
        <v/>
      </c>
      <c r="S38" s="29" t="str">
        <f>IF(keisan!L21&gt;=6,"大吉",IF(AND(keisan!L21&gt;=3,keisan!L21&lt;6),"中吉",IF(AND(keisan!L21&lt;-3,keisan!L21&gt;=-6),"中凶",IF(keisan!L21&lt;=-7,"大凶",""))))</f>
        <v/>
      </c>
      <c r="T38" s="29" t="str">
        <f>IF(keisan!M21&gt;=6,"大吉",IF(AND(keisan!M21&gt;=3,keisan!M21&lt;6),"中吉",IF(AND(keisan!M21&lt;-3,keisan!M21&gt;=-6),"中凶",IF(keisan!M21&lt;=-7,"大凶",""))))</f>
        <v>大凶</v>
      </c>
      <c r="U38" s="29" t="str">
        <f>IF(keisan!N21&gt;=6,"大吉",IF(AND(keisan!N21&gt;=3,keisan!N21&lt;6),"中吉",IF(AND(keisan!N21&lt;-3,keisan!N21&gt;=-6),"中凶",IF(keisan!N21&lt;=-7,"大凶",""))))</f>
        <v>大凶</v>
      </c>
    </row>
    <row r="39" spans="7:23" ht="4.5" customHeight="1" x14ac:dyDescent="0.15">
      <c r="G39" s="11"/>
      <c r="H39" s="12"/>
      <c r="I39" s="12"/>
      <c r="J39" s="12"/>
      <c r="K39" s="12"/>
      <c r="L39" s="12"/>
      <c r="M39" s="12"/>
      <c r="N39" s="12"/>
      <c r="O39" s="12"/>
      <c r="P39" s="12"/>
      <c r="Q39" s="12"/>
      <c r="R39" s="12"/>
      <c r="S39" s="12"/>
      <c r="T39" s="12"/>
      <c r="U39" s="12"/>
    </row>
    <row r="40" spans="7:23" x14ac:dyDescent="0.15">
      <c r="G40" s="239" t="s">
        <v>228</v>
      </c>
      <c r="H40" s="240"/>
      <c r="I40" s="240"/>
      <c r="J40" s="240"/>
      <c r="K40" s="240"/>
      <c r="L40" s="240"/>
      <c r="M40" s="240"/>
      <c r="N40" s="240"/>
      <c r="O40" s="240"/>
      <c r="P40" s="240"/>
      <c r="Q40" s="240"/>
      <c r="R40" s="240"/>
      <c r="S40" s="240"/>
      <c r="T40" s="240"/>
      <c r="U40" s="241"/>
    </row>
    <row r="41" spans="7:23" x14ac:dyDescent="0.15">
      <c r="G41" s="25"/>
      <c r="H41" s="228" t="str">
        <f>N20</f>
        <v>六白金星</v>
      </c>
      <c r="I41" s="14" t="s">
        <v>201</v>
      </c>
      <c r="J41" s="42" t="str">
        <f>keisan!C24</f>
        <v>二黒土星</v>
      </c>
      <c r="K41" s="17" t="str">
        <f>keisan!D24</f>
        <v>九紫火星</v>
      </c>
      <c r="L41" s="17" t="str">
        <f>keisan!E24</f>
        <v>九紫火星</v>
      </c>
      <c r="M41" s="48" t="str">
        <f>keisan!F24</f>
        <v>四緑木星</v>
      </c>
      <c r="N41" s="76" t="str">
        <f>keisan!G24</f>
        <v>五黄土星</v>
      </c>
      <c r="O41" s="76" t="str">
        <f>keisan!H24</f>
        <v>五黄土星</v>
      </c>
      <c r="P41" s="71" t="str">
        <f>keisan!I24</f>
        <v>一白水星</v>
      </c>
      <c r="Q41" s="53" t="str">
        <f>keisan!J24</f>
        <v>三碧木星</v>
      </c>
      <c r="R41" s="53" t="str">
        <f>keisan!K24</f>
        <v>三碧木星</v>
      </c>
      <c r="S41" s="58" t="str">
        <f>keisan!L24</f>
        <v>八白土星</v>
      </c>
      <c r="T41" s="64" t="str">
        <f>keisan!M24</f>
        <v>七赤金星</v>
      </c>
      <c r="U41" s="65" t="str">
        <f>keisan!N24</f>
        <v>七赤金星</v>
      </c>
    </row>
    <row r="42" spans="7:23" x14ac:dyDescent="0.15">
      <c r="G42" s="25"/>
      <c r="H42" s="229"/>
      <c r="I42" s="22" t="s">
        <v>205</v>
      </c>
      <c r="J42" s="40" t="str">
        <f>IF(keisan!C25=keisan!AG2,"暗剣殺",IF(keisan!C25=keisan!AG3,"五黄殺","北"))</f>
        <v>北</v>
      </c>
      <c r="K42" s="16" t="str">
        <f>IF(keisan!D25=keisan!AG2,"暗剣殺",IF(keisan!D25=keisan!AG3,"五黄殺","北北東"))</f>
        <v>北北東</v>
      </c>
      <c r="L42" s="16" t="str">
        <f>IF(keisan!E25=keisan!AG2,"暗剣殺",IF(keisan!E25=keisan!AG3,"五黄殺","東北東"))</f>
        <v>東北東</v>
      </c>
      <c r="M42" s="46" t="str">
        <f>IF(keisan!F25=keisan!AG2,"暗剣殺",IF(keisan!F25=keisan!AG3,"五黄殺","東"))</f>
        <v>東</v>
      </c>
      <c r="N42" s="43" t="str">
        <f>IF(keisan!G25=keisan!AG2,"暗剣殺",IF(keisan!G25=keisan!AG3,"五黄殺","東南東"))</f>
        <v>五黄殺</v>
      </c>
      <c r="O42" s="43" t="str">
        <f>IF(keisan!H25=keisan!AG2,"暗剣殺",IF(keisan!H25=keisan!AG3,"五黄殺","南南東"))</f>
        <v>五黄殺</v>
      </c>
      <c r="P42" s="72" t="str">
        <f>IF(keisan!I25=keisan!AG2,"暗剣殺",IF(keisan!I25=keisan!AG3,"五黄殺","南"))</f>
        <v>南</v>
      </c>
      <c r="Q42" s="26" t="str">
        <f>IF(keisan!J25=keisan!AG2,"暗剣殺",IF(keisan!J25=keisan!AG3,"五黄殺","南南西"))</f>
        <v>南南西</v>
      </c>
      <c r="R42" s="26" t="str">
        <f>IF(keisan!K25=keisan!AG2,"暗剣殺",IF(keisan!K25=keisan!AG3,"五黄殺","西南西"))</f>
        <v>西南西</v>
      </c>
      <c r="S42" s="56" t="str">
        <f>IF(keisan!L25=keisan!AG2,"暗剣殺",IF(keisan!L25=keisan!AG3,"五黄殺","西"))</f>
        <v>西</v>
      </c>
      <c r="T42" s="27" t="str">
        <f>IF(keisan!M25=keisan!AG2,"暗剣殺",IF(keisan!M25=keisan!AG3,"五黄殺","西北西"))</f>
        <v>暗剣殺</v>
      </c>
      <c r="U42" s="28" t="str">
        <f>IF(keisan!N25=keisan!AG2,"暗剣殺",IF(keisan!N25=keisan!AG3,"五黄殺","北北西"))</f>
        <v>暗剣殺</v>
      </c>
      <c r="V42" s="7" t="s">
        <v>299</v>
      </c>
      <c r="W42" t="s">
        <v>303</v>
      </c>
    </row>
    <row r="43" spans="7:23" x14ac:dyDescent="0.15">
      <c r="G43" s="25" t="s">
        <v>199</v>
      </c>
      <c r="H43" s="230"/>
      <c r="I43" s="20" t="s">
        <v>133</v>
      </c>
      <c r="J43" s="44" t="str">
        <f>IF(keisan!C26=keisan!AG5,"月破",IF(OR(keisan!C26=keisan!AG8,keisan!C26=keisan!AG9),"三合","北"))</f>
        <v>北</v>
      </c>
      <c r="K43" s="21" t="str">
        <f>IF(keisan!D26=keisan!AG5,"月破",IF(OR(keisan!D26=keisan!AG8,keisan!D26=keisan!AG9),"三合","北北東"))</f>
        <v>北北東</v>
      </c>
      <c r="L43" s="21" t="str">
        <f>IF(keisan!E26=keisan!AG5,"月破",IF(OR(keisan!E26=keisan!AG8,keisan!E26=keisan!AG9),"三合","東北東"))</f>
        <v>三合</v>
      </c>
      <c r="M43" s="49" t="str">
        <f>IF(keisan!F26=keisan!AG5,"月破",IF(OR(keisan!F26=keisan!AG8,keisan!F26=keisan!AG9),"三合","東"))</f>
        <v>東</v>
      </c>
      <c r="N43" s="77" t="str">
        <f>IF(keisan!G26=keisan!AG5,"月破",IF(OR(keisan!G26=keisan!AG8,keisan!G26=keisan!AG9),"三合","東南東"))</f>
        <v>月破</v>
      </c>
      <c r="O43" s="77" t="str">
        <f>IF(keisan!H26=keisan!AG5,"月破",IF(OR(keisan!H26=keisan!AG8,keisan!H26=keisan!AG9),"三合","南南東"))</f>
        <v>南南東</v>
      </c>
      <c r="P43" s="73" t="str">
        <f>IF(keisan!I26=keisan!AG5,"月破",IF(OR(keisan!I26=keisan!AG8,keisan!I26=keisan!AG9),"三合","南"))</f>
        <v>三合</v>
      </c>
      <c r="Q43" s="54" t="str">
        <f>IF(keisan!J26=keisan!AG5,"月破",IF(OR(keisan!J26=keisan!AG8,keisan!J26=keisan!AG9),"三合","南南西"))</f>
        <v>南南西</v>
      </c>
      <c r="R43" s="54" t="str">
        <f>IF(keisan!K26=keisan!AG5,"月破",IF(OR(keisan!K26=keisan!AG8,keisan!K26=keisan!AG9),"三合","西南西"))</f>
        <v>西南西</v>
      </c>
      <c r="S43" s="59" t="str">
        <f>IF(keisan!L26=keisan!AG5,"月破",IF(OR(keisan!L26=keisan!AG8,keisan!L26=keisan!AG9),"三合","西"))</f>
        <v>西</v>
      </c>
      <c r="T43" s="66" t="str">
        <f>IF(keisan!M26=keisan!AG5,"月破",IF(OR(keisan!M26=keisan!AG8,keisan!M26=keisan!AG9),"三合","西北西"))</f>
        <v>三合</v>
      </c>
      <c r="U43" s="67" t="str">
        <f>IF(keisan!N26=keisan!AG5,"月破",IF(OR(keisan!N26=keisan!AG8,keisan!N26=keisan!AG9),"三合","北北西"))</f>
        <v>北北西</v>
      </c>
    </row>
    <row r="44" spans="7:23" x14ac:dyDescent="0.15">
      <c r="G44" s="25"/>
      <c r="H44" s="231" t="str">
        <f>L17</f>
        <v>二黒土星</v>
      </c>
      <c r="I44" s="14" t="s">
        <v>134</v>
      </c>
      <c r="J44" s="40" t="str">
        <f>IF(keisan!C27=keisan!AG7,"的殺",IF(keisan!C27=keisan!AG6,"本命殺","北"))</f>
        <v>本命殺</v>
      </c>
      <c r="K44" s="16" t="str">
        <f>IF(keisan!D27=keisan!AG7,"的殺",IF(keisan!D27=keisan!AG6,"本命殺","北北東"))</f>
        <v>北北東</v>
      </c>
      <c r="L44" s="16" t="str">
        <f>IF(keisan!E27=keisan!AG7,"的殺",IF(keisan!E27=keisan!AG6,"本命殺","東北東"))</f>
        <v>東北東</v>
      </c>
      <c r="M44" s="46" t="str">
        <f>IF(keisan!F27=keisan!AG7,"的殺",IF(keisan!F27=keisan!AG6,"本命殺","東"))</f>
        <v>東</v>
      </c>
      <c r="N44" s="43" t="str">
        <f>IF(keisan!G27=keisan!AG7,"的殺",IF(keisan!G27=keisan!AG6,"本命殺","東南東"))</f>
        <v>東南東</v>
      </c>
      <c r="O44" s="43" t="str">
        <f>IF(keisan!H27=keisan!AG7,"的殺",IF(keisan!H27=keisan!AG6,"本命殺","南南東"))</f>
        <v>南南東</v>
      </c>
      <c r="P44" s="72" t="str">
        <f>IF(keisan!I27=keisan!AG7,"的殺",IF(keisan!I27=keisan!AG6,"本命殺","南"))</f>
        <v>的殺</v>
      </c>
      <c r="Q44" s="26" t="str">
        <f>IF(keisan!J27=keisan!AG7,"的殺",IF(keisan!J27=keisan!AG6,"本命殺","南南西"))</f>
        <v>南南西</v>
      </c>
      <c r="R44" s="26" t="str">
        <f>IF(keisan!K27=keisan!AG7,"的殺",IF(keisan!K27=keisan!AG6,"本命殺","西南西"))</f>
        <v>西南西</v>
      </c>
      <c r="S44" s="56" t="str">
        <f>IF(keisan!L27=keisan!AG7,"的殺",IF(keisan!L27=keisan!AG6,"本命殺","西"))</f>
        <v>西</v>
      </c>
      <c r="T44" s="27" t="str">
        <f>IF(keisan!M27=keisan!AG7,"的殺",IF(keisan!M27=keisan!AG6,"本命殺","西北西"))</f>
        <v>西北西</v>
      </c>
      <c r="U44" s="28" t="str">
        <f>IF(keisan!N27=keisan!AG7,"的殺",IF(keisan!N27=keisan!AG6,"本命殺","北北西"))</f>
        <v>北北西</v>
      </c>
    </row>
    <row r="45" spans="7:23" x14ac:dyDescent="0.15">
      <c r="G45" s="25"/>
      <c r="H45" s="229"/>
      <c r="I45" s="14" t="s">
        <v>196</v>
      </c>
      <c r="J45" s="40" t="str">
        <f>IF(OR(keisan!C28=1,keisan!C28=2,keisan!C28=3),"相",IF(OR(keisan!C28=-2,keisan!C28=-3),"剋",""))</f>
        <v>相</v>
      </c>
      <c r="K45" s="16" t="str">
        <f>IF(OR(keisan!D28=1,keisan!D28=2,keisan!D28=3),"相",IF(OR(keisan!D28=-2,keisan!D28=-3),"剋",""))</f>
        <v>相</v>
      </c>
      <c r="L45" s="16" t="str">
        <f>IF(OR(keisan!E28=1,keisan!E28=2,keisan!E28=3),"相",IF(OR(keisan!E28=-2,keisan!E28=-3),"剋",""))</f>
        <v>相</v>
      </c>
      <c r="M45" s="46" t="str">
        <f>IF(OR(keisan!F28=1,keisan!F28=2,keisan!F28=3),"相",IF(OR(keisan!F28=-2,keisan!F28=-3),"剋",""))</f>
        <v>剋</v>
      </c>
      <c r="N45" s="43" t="str">
        <f>IF(OR(keisan!G28=1,keisan!G28=2,keisan!G28=3),"相",IF(OR(keisan!G28=-2,keisan!G28=-3),"剋",""))</f>
        <v>相</v>
      </c>
      <c r="O45" s="43" t="str">
        <f>IF(OR(keisan!H28=1,keisan!H28=2,keisan!H28=3),"相",IF(OR(keisan!H28=-2,keisan!H28=-3),"剋",""))</f>
        <v>相</v>
      </c>
      <c r="P45" s="72" t="str">
        <f>IF(OR(keisan!I28=1,keisan!I28=2,keisan!I28=3),"相",IF(OR(keisan!I28=-2,keisan!I28=-3),"剋",""))</f>
        <v>剋</v>
      </c>
      <c r="Q45" s="26" t="str">
        <f>IF(OR(keisan!J28=1,keisan!J28=2,keisan!J28=3),"相",IF(OR(keisan!J28=-2,keisan!J28=-3),"剋",""))</f>
        <v>剋</v>
      </c>
      <c r="R45" s="26" t="str">
        <f>IF(OR(keisan!K28=1,keisan!K28=2,keisan!K28=3),"相",IF(OR(keisan!K28=-2,keisan!K28=-3),"剋",""))</f>
        <v>剋</v>
      </c>
      <c r="S45" s="56" t="str">
        <f>IF(OR(keisan!L28=1,keisan!L28=2,keisan!L28=3),"相",IF(OR(keisan!L28=-2,keisan!L28=-3),"剋",""))</f>
        <v>相</v>
      </c>
      <c r="T45" s="16" t="str">
        <f>IF(OR(keisan!M28=1,keisan!M28=2,keisan!M28=3),"相",IF(OR(keisan!M28=-2,keisan!M28=-3),"剋",""))</f>
        <v>相</v>
      </c>
      <c r="U45" s="19" t="str">
        <f>IF(OR(keisan!N28=1,keisan!N28=2,keisan!N28=3),"相",IF(OR(keisan!N28=-2,keisan!N28=-3),"剋",""))</f>
        <v>相</v>
      </c>
      <c r="V45" s="7" t="s">
        <v>299</v>
      </c>
      <c r="W45" s="145" t="s">
        <v>301</v>
      </c>
    </row>
    <row r="46" spans="7:23" x14ac:dyDescent="0.15">
      <c r="G46" s="25"/>
      <c r="H46" s="230"/>
      <c r="I46" s="23" t="s">
        <v>204</v>
      </c>
      <c r="J46" s="29" t="str">
        <f>IF(keisan!C29&gt;=6,"大吉",IF(AND(keisan!C29&gt;=3,keisan!C29&lt;6),"中吉",IF(AND(keisan!C29&lt;-3,keisan!C29&gt;=-6),"中凶",IF(keisan!C29&lt;=-7,"大凶",""))))</f>
        <v>中凶</v>
      </c>
      <c r="K46" s="29" t="str">
        <f>IF(keisan!D29&gt;=6,"大吉",IF(AND(keisan!D29&gt;=3,keisan!D29&lt;6),"中吉",IF(AND(keisan!D29&lt;-3,keisan!D29&gt;=-6),"中凶",IF(keisan!D29&lt;=-7,"大凶",""))))</f>
        <v>中吉</v>
      </c>
      <c r="L46" s="29" t="str">
        <f>IF(keisan!E29&gt;=6,"大吉",IF(AND(keisan!E29&gt;=3,keisan!E29&lt;6),"中吉",IF(AND(keisan!E29&lt;-3,keisan!E29&gt;=-6),"中凶",IF(keisan!E29&lt;=-7,"大凶",""))))</f>
        <v>大吉</v>
      </c>
      <c r="M46" s="29" t="str">
        <f>IF(keisan!F29&gt;=6,"大吉",IF(AND(keisan!F29&gt;=3,keisan!F29&lt;6),"中吉",IF(AND(keisan!F29&lt;-3,keisan!F29&gt;=-6),"中凶",IF(keisan!F29&lt;=-7,"大凶",""))))</f>
        <v/>
      </c>
      <c r="N46" s="29" t="str">
        <f>IF(keisan!G29&gt;=6,"大吉",IF(AND(keisan!G29&gt;=3,keisan!G29&lt;6),"中吉",IF(AND(keisan!G29&lt;-3,keisan!G29&gt;=-6),"中凶",IF(keisan!G29&lt;=-7,"大凶",""))))</f>
        <v>大凶</v>
      </c>
      <c r="O46" s="29" t="str">
        <f>IF(keisan!H29&gt;=6,"大吉",IF(AND(keisan!H29&gt;=3,keisan!H29&lt;6),"中吉",IF(AND(keisan!H29&lt;-3,keisan!H29&gt;=-6),"中凶",IF(keisan!H29&lt;=-7,"大凶",""))))</f>
        <v>大凶</v>
      </c>
      <c r="P46" s="29" t="str">
        <f>IF(keisan!I29&gt;=6,"大吉",IF(AND(keisan!I29&gt;=3,keisan!I29&lt;6),"中吉",IF(AND(keisan!I29&lt;-3,keisan!I29&gt;=-6),"中凶",IF(keisan!I29&lt;=-7,"大凶",""))))</f>
        <v/>
      </c>
      <c r="Q46" s="29" t="str">
        <f>IF(keisan!J29&gt;=6,"大吉",IF(AND(keisan!J29&gt;=3,keisan!J29&lt;6),"中吉",IF(AND(keisan!J29&lt;-3,keisan!J29&gt;=-6),"中凶",IF(keisan!J29&lt;=-7,"大凶",""))))</f>
        <v/>
      </c>
      <c r="R46" s="29" t="str">
        <f>IF(keisan!K29&gt;=6,"大吉",IF(AND(keisan!K29&gt;=3,keisan!K29&lt;6),"中吉",IF(AND(keisan!K29&lt;-3,keisan!K29&gt;=-6),"中凶",IF(keisan!K29&lt;=-7,"大凶",""))))</f>
        <v/>
      </c>
      <c r="S46" s="29" t="str">
        <f>IF(keisan!L29&gt;=6,"大吉",IF(AND(keisan!L29&gt;=3,keisan!L29&lt;6),"中吉",IF(AND(keisan!L29&lt;-3,keisan!L29&gt;=-6),"中凶",IF(keisan!L29&lt;=-7,"大凶",""))))</f>
        <v/>
      </c>
      <c r="T46" s="29" t="str">
        <f>IF(keisan!M29&gt;=6,"大吉",IF(AND(keisan!M29&gt;=3,keisan!M29&lt;6),"中吉",IF(AND(keisan!M29&lt;-3,keisan!M29&gt;=-6),"中凶",IF(keisan!M29&lt;=-7,"大凶",""))))</f>
        <v>中凶</v>
      </c>
      <c r="U46" s="29" t="str">
        <f>IF(keisan!N29&gt;=6,"大吉",IF(AND(keisan!N29&gt;=3,keisan!N29&lt;6),"中吉",IF(AND(keisan!N29&lt;-3,keisan!N29&gt;=-6),"中凶",IF(keisan!N29&lt;=-7,"大凶",""))))</f>
        <v>大凶</v>
      </c>
    </row>
    <row r="47" spans="7:23" ht="6" customHeight="1" x14ac:dyDescent="0.15">
      <c r="G47" s="14"/>
      <c r="H47" s="34"/>
      <c r="I47" s="34"/>
      <c r="J47" s="34"/>
      <c r="K47" s="34"/>
      <c r="L47" s="34"/>
      <c r="M47" s="34"/>
      <c r="N47" s="34"/>
      <c r="O47" s="34"/>
      <c r="P47" s="34"/>
      <c r="Q47" s="34"/>
      <c r="R47" s="34"/>
      <c r="S47" s="34"/>
      <c r="T47" s="34"/>
      <c r="U47" s="35"/>
    </row>
    <row r="48" spans="7:23" x14ac:dyDescent="0.15">
      <c r="G48" s="25" t="s">
        <v>198</v>
      </c>
      <c r="H48" s="232" t="str">
        <f>L18</f>
        <v>四緑木星</v>
      </c>
      <c r="I48" s="14" t="s">
        <v>134</v>
      </c>
      <c r="J48" s="40" t="str">
        <f>IF(keisan!C31=keisan!AG7,"的殺",IF(keisan!C31=keisan!AG6,"本命殺","北"))</f>
        <v>北</v>
      </c>
      <c r="K48" s="16" t="str">
        <f>IF(keisan!D31=keisan!AG7,"的殺",IF(keisan!D31=keisan!AG6,"本命殺","北北東"))</f>
        <v>北北東</v>
      </c>
      <c r="L48" s="16" t="str">
        <f>IF(keisan!E31=keisan!AG7,"的殺",IF(keisan!E31=keisan!AG6,"本命殺","東北東"))</f>
        <v>東北東</v>
      </c>
      <c r="M48" s="46" t="str">
        <f>IF(keisan!F31=keisan!AG7,"的殺",IF(keisan!F31=keisan!AG6,"本命殺","東"))</f>
        <v>本命殺</v>
      </c>
      <c r="N48" s="43" t="str">
        <f>IF(keisan!G31=keisan!AG7,"的殺",IF(keisan!G31=keisan!AG6,"本命殺","東南東"))</f>
        <v>東南東</v>
      </c>
      <c r="O48" s="43" t="str">
        <f>IF(keisan!H31=keisan!AG7,"的殺",IF(keisan!H31=keisan!AG6,"本命殺","南南東"))</f>
        <v>南南東</v>
      </c>
      <c r="P48" s="72" t="str">
        <f>IF(keisan!I31=keisan!AG7,"的殺",IF(keisan!I31=keisan!AG6,"本命殺","南"))</f>
        <v>南</v>
      </c>
      <c r="Q48" s="26" t="str">
        <f>IF(keisan!J31=keisan!AG7,"的殺",IF(keisan!J31=keisan!AG6,"本命殺","南南西"))</f>
        <v>南南西</v>
      </c>
      <c r="R48" s="26" t="str">
        <f>IF(keisan!K31=keisan!AG7,"的殺",IF(keisan!K31=keisan!AG6,"本命殺","西南西"))</f>
        <v>西南西</v>
      </c>
      <c r="S48" s="56" t="str">
        <f>IF(keisan!L31=keisan!AG7,"的殺",IF(keisan!L31=keisan!AG6,"本命殺","西"))</f>
        <v>的殺</v>
      </c>
      <c r="T48" s="27" t="str">
        <f>IF(keisan!M31=keisan!AG7,"的殺",IF(keisan!M31=keisan!AG6,"本命殺","西北西"))</f>
        <v>西北西</v>
      </c>
      <c r="U48" s="28" t="str">
        <f>IF(keisan!N31=keisan!AG7,"的殺",IF(keisan!N31=keisan!AG6,"本命殺","北北西"))</f>
        <v>北北西</v>
      </c>
    </row>
    <row r="49" spans="7:23" x14ac:dyDescent="0.15">
      <c r="G49" s="25"/>
      <c r="H49" s="233"/>
      <c r="I49" s="14" t="s">
        <v>196</v>
      </c>
      <c r="J49" s="40" t="str">
        <f>IF(OR(keisan!C32=1,keisan!C32=2,keisan!C32=3),"相",IF(OR(keisan!C32=-2,keisan!C32=-3),"剋",""))</f>
        <v>剋</v>
      </c>
      <c r="K49" s="16" t="str">
        <f>IF(OR(keisan!D32=1,keisan!D32=2,keisan!D32=3),"相",IF(OR(keisan!D32=-2,keisan!D32=-3),"剋",""))</f>
        <v>相</v>
      </c>
      <c r="L49" s="16" t="str">
        <f>IF(OR(keisan!E32=1,keisan!E32=2,keisan!E32=3),"相",IF(OR(keisan!E32=-2,keisan!E32=-3),"剋",""))</f>
        <v>相</v>
      </c>
      <c r="M49" s="46" t="str">
        <f>IF(OR(keisan!F32=1,keisan!F32=2,keisan!F32=3),"相",IF(OR(keisan!F32=-2,keisan!F32=-3),"剋",""))</f>
        <v>相</v>
      </c>
      <c r="N49" s="43" t="str">
        <f>IF(OR(keisan!G32=1,keisan!G32=2,keisan!G32=3),"相",IF(OR(keisan!G32=-2,keisan!G32=-3),"剋",""))</f>
        <v>剋</v>
      </c>
      <c r="O49" s="43" t="str">
        <f>IF(OR(keisan!H32=1,keisan!H32=2,keisan!H32=3),"相",IF(OR(keisan!H32=-2,keisan!H32=-3),"剋",""))</f>
        <v>剋</v>
      </c>
      <c r="P49" s="50" t="str">
        <f>IF(OR(keisan!I32=1,keisan!I32=2,keisan!I32=3),"相",IF(OR(keisan!I32=-2,keisan!I32=-3),"剋",""))</f>
        <v>相</v>
      </c>
      <c r="Q49" s="26" t="str">
        <f>IF(OR(keisan!J32=1,keisan!J32=2,keisan!J32=3),"相",IF(OR(keisan!J32=-2,keisan!J32=-3),"剋",""))</f>
        <v>相</v>
      </c>
      <c r="R49" s="26" t="str">
        <f>IF(OR(keisan!K32=1,keisan!K32=2,keisan!K32=3),"相",IF(OR(keisan!K32=-2,keisan!K32=-3),"剋",""))</f>
        <v>相</v>
      </c>
      <c r="S49" s="56" t="str">
        <f>IF(OR(keisan!L32=1,keisan!L32=2,keisan!L32=3),"相",IF(OR(keisan!L32=-2,keisan!L32=-3),"剋",""))</f>
        <v>剋</v>
      </c>
      <c r="T49" s="27" t="str">
        <f>IF(OR(keisan!M32=1,keisan!M32=2,keisan!M32=3),"相",IF(OR(keisan!M32=-2,keisan!M32=-3),"剋",""))</f>
        <v>剋</v>
      </c>
      <c r="U49" s="28" t="str">
        <f>IF(OR(keisan!N32=1,keisan!N32=2,keisan!N32=3),"相",IF(OR(keisan!N32=-2,keisan!N32=-3),"剋",""))</f>
        <v>剋</v>
      </c>
      <c r="V49" s="7" t="s">
        <v>299</v>
      </c>
      <c r="W49" s="145" t="s">
        <v>302</v>
      </c>
    </row>
    <row r="50" spans="7:23" x14ac:dyDescent="0.15">
      <c r="G50" s="30"/>
      <c r="H50" s="234"/>
      <c r="I50" s="24" t="s">
        <v>204</v>
      </c>
      <c r="J50" s="36" t="str">
        <f>IF(keisan!C33&gt;=6,"大吉",IF(AND(keisan!C33&gt;=3,keisan!C33&lt;6),"中吉",IF(AND(keisan!C33&lt;-3,keisan!C33&gt;=-6),"中凶",IF(keisan!C33&lt;=-7,"大凶",""))))</f>
        <v/>
      </c>
      <c r="K50" s="36" t="str">
        <f>IF(keisan!D33&gt;=6,"大吉",IF(AND(keisan!D33&gt;=3,keisan!D33&lt;6),"中吉",IF(AND(keisan!D33&lt;-3,keisan!D33&gt;=-6),"中凶",IF(keisan!D33&lt;=-7,"大凶",""))))</f>
        <v/>
      </c>
      <c r="L50" s="36" t="str">
        <f>IF(keisan!E33&gt;=6,"大吉",IF(AND(keisan!E33&gt;=3,keisan!E33&lt;6),"中吉",IF(AND(keisan!E33&lt;-3,keisan!E33&gt;=-6),"中凶",IF(keisan!E33&lt;=-7,"大凶",""))))</f>
        <v>大吉</v>
      </c>
      <c r="M50" s="36" t="str">
        <f>IF(keisan!F33&gt;=6,"大吉",IF(AND(keisan!F33&gt;=3,keisan!F33&lt;6),"中吉",IF(AND(keisan!F33&lt;-3,keisan!F33&gt;=-6),"中凶",IF(keisan!F33&lt;=-7,"大凶",""))))</f>
        <v>中凶</v>
      </c>
      <c r="N50" s="36" t="str">
        <f>IF(keisan!G33&gt;=6,"大吉",IF(AND(keisan!G33&gt;=3,keisan!G33&lt;6),"中吉",IF(AND(keisan!G33&lt;-3,keisan!G33&gt;=-6),"中凶",IF(keisan!G33&lt;=-7,"大凶",""))))</f>
        <v>大凶</v>
      </c>
      <c r="O50" s="36" t="str">
        <f>IF(keisan!H33&gt;=6,"大吉",IF(AND(keisan!H33&gt;=3,keisan!H33&lt;6),"中吉",IF(AND(keisan!H33&lt;-3,keisan!H33&gt;=-6),"中凶",IF(keisan!H33&lt;=-7,"大凶",""))))</f>
        <v>大凶</v>
      </c>
      <c r="P50" s="36" t="str">
        <f>IF(keisan!I33&gt;=6,"大吉",IF(AND(keisan!I33&gt;=3,keisan!I33&lt;6),"中吉",IF(AND(keisan!I33&lt;-3,keisan!I33&gt;=-6),"中凶",IF(keisan!I33&lt;=-7,"大凶",""))))</f>
        <v>大吉</v>
      </c>
      <c r="Q50" s="36" t="str">
        <f>IF(keisan!J33&gt;=6,"大吉",IF(AND(keisan!J33&gt;=3,keisan!J33&lt;6),"中吉",IF(AND(keisan!J33&lt;-3,keisan!J33&gt;=-6),"中凶",IF(keisan!J33&lt;=-7,"大凶",""))))</f>
        <v/>
      </c>
      <c r="R50" s="36" t="str">
        <f>IF(keisan!K33&gt;=6,"大吉",IF(AND(keisan!K33&gt;=3,keisan!K33&lt;6),"中吉",IF(AND(keisan!K33&lt;-3,keisan!K33&gt;=-6),"中凶",IF(keisan!K33&lt;=-7,"大凶",""))))</f>
        <v/>
      </c>
      <c r="S50" s="36" t="str">
        <f>IF(keisan!L33&gt;=6,"大吉",IF(AND(keisan!L33&gt;=3,keisan!L33&lt;6),"中吉",IF(AND(keisan!L33&lt;-3,keisan!L33&gt;=-6),"中凶",IF(keisan!L33&lt;=-7,"大凶",""))))</f>
        <v>中凶</v>
      </c>
      <c r="T50" s="36" t="str">
        <f>IF(keisan!M33&gt;=6,"大吉",IF(AND(keisan!M33&gt;=3,keisan!M33&lt;6),"中吉",IF(AND(keisan!M33&lt;-3,keisan!M33&gt;=-6),"中凶",IF(keisan!M33&lt;=-7,"大凶",""))))</f>
        <v>大凶</v>
      </c>
      <c r="U50" s="36" t="str">
        <f>IF(keisan!N33&gt;=6,"大吉",IF(AND(keisan!N33&gt;=3,keisan!N33&lt;6),"中吉",IF(AND(keisan!N33&lt;-3,keisan!N33&gt;=-6),"中凶",IF(keisan!N33&lt;=-7,"大凶",""))))</f>
        <v>大凶</v>
      </c>
    </row>
    <row r="52" spans="7:23" x14ac:dyDescent="0.15">
      <c r="H52" t="str">
        <f>IF(I22&gt;=9,"一週間以内の旅行（ただし、日盤が主で吉の方位の日に出発すること）",IF(AND(I22&lt;9,I22&gt;=6),"1週間以上の旅行（日盤が吉の方位の日に出発すること）",IF(AND(I22&lt;6,I22&gt;=3),"2~3年後に引越しの予定（短期でまた引越しの場合）","一生の住まいとする引越し（永住を決心した場合）")))</f>
        <v>1週間以上の旅行（日盤が吉の方位の日に出発すること）</v>
      </c>
    </row>
    <row r="53" spans="7:23" x14ac:dyDescent="0.15">
      <c r="J53" s="40" t="str">
        <f>IF(keisan!C36=-3,"的殺",IF(keisan!C36=-5,"本命殺","北"))</f>
        <v>北</v>
      </c>
      <c r="K53" s="16" t="str">
        <f>IF(keisan!D36=-3,"的殺",IF(keisan!D36=-5,"本命殺","北北東"))</f>
        <v>北北東</v>
      </c>
      <c r="L53" s="16" t="str">
        <f>IF(keisan!E36=-3,"的殺",IF(keisan!E36=-5,"本命殺","東北東"))</f>
        <v>東北東</v>
      </c>
      <c r="M53" s="46" t="str">
        <f>IF(keisan!F36=-3,"的殺",IF(keisan!F36=-5,"本命殺","東"))</f>
        <v>東</v>
      </c>
      <c r="N53" s="43" t="str">
        <f>IF(keisan!G36=-3,"的殺",IF(keisan!G36=-5,"本命殺","東南東"))</f>
        <v>東南東</v>
      </c>
      <c r="O53" s="43" t="str">
        <f>IF(keisan!H36=-3,"的殺",IF(keisan!H36=-5,"本命殺","南南東"))</f>
        <v>南南東</v>
      </c>
      <c r="P53" s="72" t="str">
        <f>IF(keisan!I36=-3,"的殺",IF(keisan!I36=-5,"本命殺","南"))</f>
        <v>南</v>
      </c>
      <c r="Q53" s="26" t="str">
        <f>IF(keisan!J36=-3,"的殺",IF(keisan!J36=-5,"本命殺","南南西"))</f>
        <v>南南西</v>
      </c>
      <c r="R53" s="26" t="str">
        <f>IF(keisan!K36=-3,"的殺",IF(keisan!K36=-5,"本命殺","西南西"))</f>
        <v>西南西</v>
      </c>
      <c r="S53" s="56" t="str">
        <f>IF(keisan!L36=-3,"的殺",IF(keisan!L36=-5,"本命殺","西"))</f>
        <v>西</v>
      </c>
      <c r="T53" s="27" t="str">
        <f>IF(keisan!M36=-3,"的殺",IF(keisan!M36=-5,"本命殺","西北西"))</f>
        <v>西北西</v>
      </c>
      <c r="U53" s="28" t="str">
        <f>IF(keisan!N36=-3,"的殺",IF(keisan!N36=-5,"本命殺","北北西"))</f>
        <v>北北西</v>
      </c>
    </row>
    <row r="54" spans="7:23" x14ac:dyDescent="0.15">
      <c r="I54" s="20" t="s">
        <v>202</v>
      </c>
      <c r="J54" s="41" t="s">
        <v>171</v>
      </c>
      <c r="K54" s="33" t="s">
        <v>172</v>
      </c>
      <c r="L54" s="33" t="s">
        <v>173</v>
      </c>
      <c r="M54" s="47" t="s">
        <v>215</v>
      </c>
      <c r="N54" s="75" t="s">
        <v>219</v>
      </c>
      <c r="O54" s="75" t="s">
        <v>220</v>
      </c>
      <c r="P54" s="70" t="s">
        <v>223</v>
      </c>
      <c r="Q54" s="52" t="s">
        <v>178</v>
      </c>
      <c r="R54" s="52" t="s">
        <v>179</v>
      </c>
      <c r="S54" s="57" t="s">
        <v>180</v>
      </c>
      <c r="T54" s="62" t="s">
        <v>181</v>
      </c>
      <c r="U54" s="63" t="s">
        <v>182</v>
      </c>
    </row>
    <row r="55" spans="7:23" x14ac:dyDescent="0.15">
      <c r="H55" t="str">
        <f>L17</f>
        <v>二黒土星</v>
      </c>
      <c r="I55" s="24" t="s">
        <v>204</v>
      </c>
      <c r="J55" s="36" t="str">
        <f>IF(keisan!C37&gt;=6,"大吉",IF(AND(keisan!C37&gt;=3,keisan!C37&lt;6),"中吉",IF(AND(keisan!C37&lt;-3,keisan!C37&gt;-7),"中凶",IF(keisan!C37&lt;=-7,"大凶",""))))</f>
        <v>中凶</v>
      </c>
      <c r="K55" s="36" t="str">
        <f>IF(keisan!D37&gt;=6,"大吉",IF(AND(keisan!D37&gt;=3,keisan!D37&lt;6),"中吉",IF(AND(keisan!D37&lt;-3,keisan!D37&gt;-7),"中凶",IF(keisan!D37&lt;=-7,"大凶",""))))</f>
        <v>中吉</v>
      </c>
      <c r="L55" s="36" t="str">
        <f>IF(keisan!E37&gt;=6,"大吉",IF(AND(keisan!E37&gt;=3,keisan!E37&lt;6),"中吉",IF(AND(keisan!E37&lt;-3,keisan!E37&gt;-7),"中凶",IF(keisan!E37&lt;=-7,"大凶",""))))</f>
        <v>大吉</v>
      </c>
      <c r="M55" s="36" t="str">
        <f>IF(keisan!F37&gt;=6,"大吉",IF(AND(keisan!F37&gt;=3,keisan!F37&lt;6),"中吉",IF(AND(keisan!F37&lt;-3,keisan!F37&gt;-7),"中凶",IF(keisan!F37&lt;=-7,"大凶",""))))</f>
        <v/>
      </c>
      <c r="N55" s="36" t="str">
        <f>IF(keisan!G37&gt;=6,"大吉",IF(AND(keisan!G37&gt;=3,keisan!G37&lt;6),"中吉",IF(AND(keisan!G37&lt;-3,keisan!G37&gt;-7),"中凶",IF(keisan!G37&lt;=-7,"大凶",""))))</f>
        <v>大凶</v>
      </c>
      <c r="O55" s="36" t="str">
        <f>IF(keisan!H37&gt;=6,"大吉",IF(AND(keisan!H37&gt;=3,keisan!H37&lt;6),"中吉",IF(AND(keisan!H37&lt;-3,keisan!H37&gt;-7),"中凶",IF(keisan!H37&lt;=-7,"大凶",""))))</f>
        <v>中凶</v>
      </c>
      <c r="P55" s="36" t="str">
        <f>IF(keisan!I37&gt;=6,"大吉",IF(AND(keisan!I37&gt;=3,keisan!I37&lt;6),"中吉",IF(AND(keisan!I37&lt;-3,keisan!I37&gt;-7),"中凶",IF(keisan!I37&lt;=-7,"大凶",""))))</f>
        <v/>
      </c>
      <c r="Q55" s="36" t="str">
        <f>IF(keisan!J37&gt;=6,"大吉",IF(AND(keisan!J37&gt;=3,keisan!J37&lt;6),"中吉",IF(AND(keisan!J37&lt;-3,keisan!J37&gt;-7),"中凶",IF(keisan!J37&lt;=-7,"大凶",""))))</f>
        <v>中凶</v>
      </c>
      <c r="R55" s="36" t="str">
        <f>IF(keisan!K37&gt;=6,"大吉",IF(AND(keisan!K37&gt;=3,keisan!K37&lt;6),"中吉",IF(AND(keisan!K37&lt;-3,keisan!K37&gt;-7),"中凶",IF(keisan!K37&lt;=-7,"大凶",""))))</f>
        <v/>
      </c>
      <c r="S55" s="36" t="str">
        <f>IF(keisan!L37&gt;=6,"大吉",IF(AND(keisan!L37&gt;=3,keisan!L37&lt;6),"中吉",IF(AND(keisan!L37&lt;-3,keisan!L37&gt;-7),"中凶",IF(keisan!L37&lt;=-7,"大凶",""))))</f>
        <v/>
      </c>
      <c r="T55" s="36" t="str">
        <f>IF(keisan!M37&gt;=6,"大吉",IF(AND(keisan!M37&gt;=3,keisan!M37&lt;6),"中吉",IF(AND(keisan!M37&lt;-3,keisan!M37&gt;-7),"中凶",IF(keisan!M37&lt;=-7,"大凶",""))))</f>
        <v>中凶</v>
      </c>
      <c r="U55" s="36" t="str">
        <f>IF(keisan!N37&gt;=6,"大吉",IF(AND(keisan!N37&gt;=3,keisan!N37&lt;6),"中吉",IF(AND(keisan!N37&lt;-3,keisan!N37&gt;-7),"中凶",IF(keisan!N37&lt;=-7,"大凶",""))))</f>
        <v>大凶</v>
      </c>
      <c r="V55" s="7" t="s">
        <v>299</v>
      </c>
      <c r="W55" t="s">
        <v>304</v>
      </c>
    </row>
    <row r="56" spans="7:23" x14ac:dyDescent="0.15">
      <c r="H56" t="str">
        <f>L18</f>
        <v>四緑木星</v>
      </c>
      <c r="I56" s="24" t="s">
        <v>204</v>
      </c>
      <c r="J56" s="36" t="str">
        <f>IF(keisan!C38&gt;=6,"大吉",IF(AND(keisan!C38&gt;=3,keisan!C38&lt;6),"中吉",IF(AND(keisan!C38&lt;-3,keisan!C38&gt;-7),"中凶",IF(keisan!C38&lt;=-7,"大凶",""))))</f>
        <v/>
      </c>
      <c r="K56" s="36" t="str">
        <f>IF(keisan!D38&gt;=6,"大吉",IF(AND(keisan!D38&gt;=3,keisan!D38&lt;6),"中吉",IF(AND(keisan!D38&lt;-3,keisan!D38&gt;-7),"中凶",IF(keisan!D38&lt;=-7,"大凶",""))))</f>
        <v/>
      </c>
      <c r="L56" s="36" t="str">
        <f>IF(keisan!E38&gt;=6,"大吉",IF(AND(keisan!E38&gt;=3,keisan!E38&lt;6),"中吉",IF(AND(keisan!E38&lt;-3,keisan!E38&gt;-7),"中凶",IF(keisan!E38&lt;=-7,"大凶",""))))</f>
        <v>大吉</v>
      </c>
      <c r="M56" s="36" t="str">
        <f>IF(keisan!F38&gt;=6,"大吉",IF(AND(keisan!F38&gt;=3,keisan!F38&lt;6),"中吉",IF(AND(keisan!F38&lt;-3,keisan!F38&gt;-7),"中凶",IF(keisan!F38&lt;=-7,"大凶",""))))</f>
        <v>中凶</v>
      </c>
      <c r="N56" s="36" t="str">
        <f>IF(keisan!G38&gt;=6,"大吉",IF(AND(keisan!G38&gt;=3,keisan!G38&lt;6),"中吉",IF(AND(keisan!G38&lt;-3,keisan!G38&gt;-7),"中凶",IF(keisan!G38&lt;=-7,"大凶",""))))</f>
        <v>大凶</v>
      </c>
      <c r="O56" s="36" t="str">
        <f>IF(keisan!H38&gt;=6,"大吉",IF(AND(keisan!H38&gt;=3,keisan!H38&lt;6),"中吉",IF(AND(keisan!H38&lt;-3,keisan!H38&gt;-7),"中凶",IF(keisan!H38&lt;=-7,"大凶",""))))</f>
        <v>大凶</v>
      </c>
      <c r="P56" s="36" t="str">
        <f>IF(keisan!I38&gt;=6,"大吉",IF(AND(keisan!I38&gt;=3,keisan!I38&lt;6),"中吉",IF(AND(keisan!I38&lt;-3,keisan!I38&gt;-7),"中凶",IF(keisan!I38&lt;=-7,"大凶",""))))</f>
        <v>大吉</v>
      </c>
      <c r="Q56" s="36" t="str">
        <f>IF(keisan!J38&gt;=6,"大吉",IF(AND(keisan!J38&gt;=3,keisan!J38&lt;6),"中吉",IF(AND(keisan!J38&lt;-3,keisan!J38&gt;-7),"中凶",IF(keisan!J38&lt;=-7,"大凶",""))))</f>
        <v/>
      </c>
      <c r="R56" s="36" t="str">
        <f>IF(keisan!K38&gt;=6,"大吉",IF(AND(keisan!K38&gt;=3,keisan!K38&lt;6),"中吉",IF(AND(keisan!K38&lt;-3,keisan!K38&gt;-7),"中凶",IF(keisan!K38&lt;=-7,"大凶",""))))</f>
        <v/>
      </c>
      <c r="S56" s="36" t="str">
        <f>IF(keisan!L38&gt;=6,"大吉",IF(AND(keisan!L38&gt;=3,keisan!L38&lt;6),"中吉",IF(AND(keisan!L38&lt;-3,keisan!L38&gt;-7),"中凶",IF(keisan!L38&lt;=-7,"大凶",""))))</f>
        <v>中凶</v>
      </c>
      <c r="T56" s="36" t="str">
        <f>IF(keisan!M38&gt;=6,"大吉",IF(AND(keisan!M38&gt;=3,keisan!M38&lt;6),"中吉",IF(AND(keisan!M38&lt;-3,keisan!M38&gt;-7),"中凶",IF(keisan!M38&lt;=-7,"大凶",""))))</f>
        <v>大凶</v>
      </c>
      <c r="U56" s="36" t="str">
        <f>IF(keisan!N38&gt;=6,"大吉",IF(AND(keisan!N38&gt;=3,keisan!N38&lt;6),"中吉",IF(AND(keisan!N38&lt;-3,keisan!N38&gt;-7),"中凶",IF(keisan!N38&lt;=-7,"大凶",""))))</f>
        <v>大凶</v>
      </c>
      <c r="V56" s="7" t="s">
        <v>299</v>
      </c>
      <c r="W56" t="s">
        <v>305</v>
      </c>
    </row>
    <row r="59" spans="7:23" ht="14.25" thickBot="1" x14ac:dyDescent="0.2">
      <c r="I59" s="157" t="s">
        <v>347</v>
      </c>
      <c r="N59" t="s">
        <v>329</v>
      </c>
      <c r="R59" t="s">
        <v>330</v>
      </c>
    </row>
    <row r="60" spans="7:23" x14ac:dyDescent="0.15">
      <c r="J60" s="134"/>
      <c r="K60" s="135" t="s">
        <v>96</v>
      </c>
      <c r="L60" s="136" t="s">
        <v>275</v>
      </c>
      <c r="N60" s="134"/>
      <c r="O60" s="135" t="s">
        <v>96</v>
      </c>
      <c r="P60" s="136" t="s">
        <v>275</v>
      </c>
    </row>
    <row r="61" spans="7:23" x14ac:dyDescent="0.15">
      <c r="J61" s="137" t="s">
        <v>271</v>
      </c>
      <c r="K61" s="139">
        <v>-10</v>
      </c>
      <c r="L61" s="139">
        <v>-10</v>
      </c>
      <c r="N61" s="137" t="s">
        <v>271</v>
      </c>
      <c r="O61" s="164">
        <v>-10</v>
      </c>
      <c r="P61" s="164">
        <v>-10</v>
      </c>
      <c r="R61" t="s">
        <v>344</v>
      </c>
    </row>
    <row r="62" spans="7:23" x14ac:dyDescent="0.15">
      <c r="J62" s="137" t="s">
        <v>272</v>
      </c>
      <c r="K62" s="139">
        <v>-8</v>
      </c>
      <c r="L62" s="139">
        <v>-8</v>
      </c>
      <c r="N62" s="137" t="s">
        <v>272</v>
      </c>
      <c r="O62" s="164">
        <v>-8</v>
      </c>
      <c r="P62" s="164">
        <v>-8</v>
      </c>
    </row>
    <row r="63" spans="7:23" x14ac:dyDescent="0.15">
      <c r="J63" s="137" t="s">
        <v>273</v>
      </c>
      <c r="K63" s="139">
        <v>-6</v>
      </c>
      <c r="L63" s="163"/>
      <c r="N63" s="137" t="s">
        <v>273</v>
      </c>
      <c r="O63" s="164">
        <v>-6</v>
      </c>
      <c r="P63" s="165"/>
    </row>
    <row r="64" spans="7:23" x14ac:dyDescent="0.15">
      <c r="J64" s="137" t="s">
        <v>274</v>
      </c>
      <c r="K64" s="163"/>
      <c r="L64" s="139">
        <v>-6</v>
      </c>
      <c r="N64" s="137" t="s">
        <v>274</v>
      </c>
      <c r="O64" s="165"/>
      <c r="P64" s="164">
        <v>-6</v>
      </c>
    </row>
    <row r="65" spans="10:16" x14ac:dyDescent="0.15">
      <c r="J65" s="137" t="s">
        <v>183</v>
      </c>
      <c r="K65" s="139">
        <v>-5</v>
      </c>
      <c r="L65" s="139">
        <v>-5</v>
      </c>
      <c r="N65" s="137" t="s">
        <v>183</v>
      </c>
      <c r="O65" s="164">
        <v>-5</v>
      </c>
      <c r="P65" s="164">
        <v>-5</v>
      </c>
    </row>
    <row r="66" spans="10:16" x14ac:dyDescent="0.15">
      <c r="J66" s="137" t="s">
        <v>138</v>
      </c>
      <c r="K66" s="139">
        <v>-3</v>
      </c>
      <c r="L66" s="139">
        <v>-3</v>
      </c>
      <c r="N66" s="137" t="s">
        <v>138</v>
      </c>
      <c r="O66" s="164">
        <v>-3</v>
      </c>
      <c r="P66" s="164">
        <v>-3</v>
      </c>
    </row>
    <row r="67" spans="10:16" x14ac:dyDescent="0.15">
      <c r="J67" s="137" t="s">
        <v>276</v>
      </c>
      <c r="K67" s="139">
        <v>4</v>
      </c>
      <c r="L67" s="139">
        <v>4</v>
      </c>
      <c r="N67" s="137" t="s">
        <v>276</v>
      </c>
      <c r="O67" s="164">
        <v>4</v>
      </c>
      <c r="P67" s="164">
        <v>4</v>
      </c>
    </row>
    <row r="68" spans="10:16" ht="14.25" thickBot="1" x14ac:dyDescent="0.2">
      <c r="J68" s="138" t="s">
        <v>277</v>
      </c>
      <c r="K68" s="139">
        <v>6</v>
      </c>
      <c r="L68" s="139">
        <v>6</v>
      </c>
      <c r="N68" s="138" t="s">
        <v>277</v>
      </c>
      <c r="O68" s="164">
        <v>6</v>
      </c>
      <c r="P68" s="164">
        <v>6</v>
      </c>
    </row>
  </sheetData>
  <sheetProtection algorithmName="SHA-512" hashValue="xMPbuTGVGEIYxGw/S/QkDwx8O1/OU3HqyOHySR93kezcOmkFGETKcQF/wki6rxz616ugQK8IYEJsNOmHcEYnfg==" saltValue="AcYNmi7Xfz8a18rLrrg+sw==" spinCount="100000" sheet="1" objects="1" scenarios="1"/>
  <mergeCells count="12">
    <mergeCell ref="H41:H43"/>
    <mergeCell ref="H44:H46"/>
    <mergeCell ref="H48:H50"/>
    <mergeCell ref="H29:H31"/>
    <mergeCell ref="H32:H34"/>
    <mergeCell ref="H36:H38"/>
    <mergeCell ref="G40:U40"/>
    <mergeCell ref="I13:T14"/>
    <mergeCell ref="K26:L26"/>
    <mergeCell ref="N26:O26"/>
    <mergeCell ref="Q26:R26"/>
    <mergeCell ref="T26:U26"/>
  </mergeCells>
  <phoneticPr fontId="3"/>
  <conditionalFormatting sqref="J30:U30 J42:U42">
    <cfRule type="cellIs" dxfId="12" priority="1" stopIfTrue="1" operator="equal">
      <formula>"暗剣殺"</formula>
    </cfRule>
    <cfRule type="cellIs" dxfId="11" priority="2" stopIfTrue="1" operator="equal">
      <formula>"五黄殺"</formula>
    </cfRule>
  </conditionalFormatting>
  <conditionalFormatting sqref="J31:U31">
    <cfRule type="cellIs" dxfId="10" priority="3" stopIfTrue="1" operator="equal">
      <formula>"三合"</formula>
    </cfRule>
    <cfRule type="cellIs" dxfId="9" priority="4" stopIfTrue="1" operator="equal">
      <formula>"歳破"</formula>
    </cfRule>
  </conditionalFormatting>
  <conditionalFormatting sqref="J33:U33 J37:U37 J45:U45 J49:U49">
    <cfRule type="cellIs" dxfId="8" priority="5" stopIfTrue="1" operator="equal">
      <formula>"剋"</formula>
    </cfRule>
    <cfRule type="cellIs" dxfId="7" priority="6" stopIfTrue="1" operator="equal">
      <formula>"相"</formula>
    </cfRule>
  </conditionalFormatting>
  <conditionalFormatting sqref="J32:U32 J36:U36 J44:U44 J48:U48 J53:U53">
    <cfRule type="cellIs" dxfId="6" priority="7" stopIfTrue="1" operator="equal">
      <formula>"的殺"</formula>
    </cfRule>
    <cfRule type="cellIs" dxfId="5" priority="8" stopIfTrue="1" operator="equal">
      <formula>"本命殺"</formula>
    </cfRule>
  </conditionalFormatting>
  <conditionalFormatting sqref="J43:U43">
    <cfRule type="cellIs" dxfId="4" priority="9" stopIfTrue="1" operator="equal">
      <formula>"三合"</formula>
    </cfRule>
    <cfRule type="cellIs" dxfId="3" priority="10" stopIfTrue="1" operator="equal">
      <formula>"月破"</formula>
    </cfRule>
  </conditionalFormatting>
  <conditionalFormatting sqref="J55:U56 J34:U34 J38:U38 J46:U46 J50:U50">
    <cfRule type="cellIs" dxfId="2" priority="11" stopIfTrue="1" operator="equal">
      <formula>"大吉"</formula>
    </cfRule>
    <cfRule type="cellIs" dxfId="1" priority="12" stopIfTrue="1" operator="equal">
      <formula>"大凶"</formula>
    </cfRule>
    <cfRule type="cellIs" dxfId="0" priority="13" stopIfTrue="1" operator="equal">
      <formula>"中凶"</formula>
    </cfRule>
  </conditionalFormatting>
  <pageMargins left="0.75" right="0.75" top="1" bottom="1" header="0.51200000000000001" footer="0.51200000000000001"/>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N1527"/>
  <sheetViews>
    <sheetView topLeftCell="I1" zoomScale="75" zoomScaleNormal="75" workbookViewId="0">
      <selection activeCell="AG10" sqref="AG10"/>
    </sheetView>
  </sheetViews>
  <sheetFormatPr defaultRowHeight="13.5" x14ac:dyDescent="0.15"/>
  <cols>
    <col min="1" max="1" width="3.25" customWidth="1"/>
    <col min="2" max="2" width="2.875" customWidth="1"/>
    <col min="3" max="14" width="6" customWidth="1"/>
    <col min="15" max="15" width="4.375" customWidth="1"/>
    <col min="16" max="16" width="2.125" customWidth="1"/>
    <col min="17" max="17" width="11.25" customWidth="1"/>
    <col min="18" max="18" width="7.125" customWidth="1"/>
    <col min="19" max="19" width="6.5" customWidth="1"/>
    <col min="20" max="21" width="5.125" customWidth="1"/>
    <col min="22" max="25" width="5" customWidth="1"/>
    <col min="26" max="26" width="10.875" customWidth="1"/>
    <col min="27" max="28" width="5" customWidth="1"/>
    <col min="29" max="29" width="12.375" customWidth="1"/>
    <col min="30" max="30" width="5" customWidth="1"/>
    <col min="31" max="31" width="6" customWidth="1"/>
    <col min="32" max="40" width="5" customWidth="1"/>
    <col min="41" max="41" width="10.75" customWidth="1"/>
    <col min="42" max="42" width="2.875" customWidth="1"/>
    <col min="43" max="46" width="5.375" customWidth="1"/>
    <col min="47" max="95" width="9" customWidth="1"/>
  </cols>
  <sheetData>
    <row r="1" spans="2:40" ht="14.25" thickBot="1" x14ac:dyDescent="0.2">
      <c r="D1" s="129">
        <v>24201</v>
      </c>
      <c r="F1" s="145" t="s">
        <v>306</v>
      </c>
      <c r="K1" s="145" t="s">
        <v>328</v>
      </c>
      <c r="O1" s="2"/>
      <c r="Q1" t="s">
        <v>82</v>
      </c>
      <c r="Z1" t="s">
        <v>193</v>
      </c>
      <c r="AE1" s="134"/>
      <c r="AF1" s="135" t="s">
        <v>96</v>
      </c>
      <c r="AG1" s="136" t="s">
        <v>275</v>
      </c>
    </row>
    <row r="2" spans="2:40" ht="14.25" thickBot="1" x14ac:dyDescent="0.2">
      <c r="N2" t="s">
        <v>24</v>
      </c>
      <c r="O2" s="9">
        <v>39317</v>
      </c>
      <c r="R2" t="s">
        <v>115</v>
      </c>
      <c r="S2" t="s">
        <v>116</v>
      </c>
      <c r="T2" s="145" t="s">
        <v>326</v>
      </c>
      <c r="Z2" t="s">
        <v>194</v>
      </c>
      <c r="AE2" s="137" t="s">
        <v>271</v>
      </c>
      <c r="AF2" s="139">
        <f>吉凶判定表!O61</f>
        <v>-10</v>
      </c>
      <c r="AG2" s="139">
        <f>吉凶判定表!P61</f>
        <v>-10</v>
      </c>
      <c r="AI2" s="133" t="s">
        <v>278</v>
      </c>
    </row>
    <row r="3" spans="2:40" x14ac:dyDescent="0.15">
      <c r="B3">
        <v>1</v>
      </c>
      <c r="C3" t="s">
        <v>107</v>
      </c>
      <c r="E3">
        <f>吉凶判定表!I17</f>
        <v>1927</v>
      </c>
      <c r="F3" t="s">
        <v>109</v>
      </c>
      <c r="G3">
        <f>吉凶判定表!J17</f>
        <v>1</v>
      </c>
      <c r="H3" t="s">
        <v>150</v>
      </c>
      <c r="I3">
        <f>吉凶判定表!K17</f>
        <v>7</v>
      </c>
      <c r="J3" t="s">
        <v>110</v>
      </c>
      <c r="L3" s="6" t="str">
        <f>VLOOKUP(R3,R11:S19,2)</f>
        <v>二黒土星</v>
      </c>
      <c r="M3" s="7" t="str">
        <f>VLOOKUP(T3,AH39:AI98,2,FALSE)</f>
        <v>寅</v>
      </c>
      <c r="N3" t="s">
        <v>131</v>
      </c>
      <c r="Q3" t="s">
        <v>114</v>
      </c>
      <c r="R3">
        <f>VLOOKUP(Z3,AC$39:AE$1527,3,TRUE)</f>
        <v>2</v>
      </c>
      <c r="S3">
        <f>VLOOKUP($T$3,$AH$39:$AJ$98,3,FALSE)</f>
        <v>3</v>
      </c>
      <c r="T3">
        <f>VLOOKUP($Z$3,$AC$39:$AE$1527,2,TRUE)</f>
        <v>3</v>
      </c>
      <c r="Z3" s="2">
        <f>DATE(E3,G3,I3)</f>
        <v>9869</v>
      </c>
      <c r="AE3" s="137" t="s">
        <v>272</v>
      </c>
      <c r="AF3" s="139">
        <f>吉凶判定表!O62</f>
        <v>-8</v>
      </c>
      <c r="AG3" s="139">
        <v>-8</v>
      </c>
      <c r="AI3" t="s">
        <v>281</v>
      </c>
    </row>
    <row r="4" spans="2:40" x14ac:dyDescent="0.15">
      <c r="B4">
        <v>2</v>
      </c>
      <c r="C4" t="s">
        <v>107</v>
      </c>
      <c r="E4">
        <f>吉凶判定表!I18</f>
        <v>2051</v>
      </c>
      <c r="F4" t="s">
        <v>109</v>
      </c>
      <c r="G4">
        <f>吉凶判定表!J18</f>
        <v>1</v>
      </c>
      <c r="H4" t="s">
        <v>150</v>
      </c>
      <c r="I4">
        <f>吉凶判定表!K18</f>
        <v>4</v>
      </c>
      <c r="J4" t="s">
        <v>111</v>
      </c>
      <c r="L4" s="6" t="str">
        <f>VLOOKUP(R4,R11:S19,2)</f>
        <v>四緑木星</v>
      </c>
      <c r="M4" s="7" t="str">
        <f>VLOOKUP(T4,AH39:AI98,2,FALSE)</f>
        <v>午</v>
      </c>
      <c r="N4" t="s">
        <v>131</v>
      </c>
      <c r="Q4" t="s">
        <v>114</v>
      </c>
      <c r="R4">
        <f>VLOOKUP(Z4,AC$39:AE$1527,3,TRUE)</f>
        <v>4</v>
      </c>
      <c r="S4">
        <f>VLOOKUP($T$4,$AH$39:$AJ$98,3,FALSE)</f>
        <v>7</v>
      </c>
      <c r="T4">
        <f>VLOOKUP($Z$4,$AC$39:$AE$1527,2,TRUE)</f>
        <v>7</v>
      </c>
      <c r="Z4" s="2">
        <f>DATE(E4,G4,I4)</f>
        <v>55157</v>
      </c>
      <c r="AE4" s="137" t="s">
        <v>273</v>
      </c>
      <c r="AF4" s="139">
        <v>-6</v>
      </c>
      <c r="AG4" s="139"/>
      <c r="AI4" t="s">
        <v>279</v>
      </c>
    </row>
    <row r="5" spans="2:40" x14ac:dyDescent="0.15">
      <c r="Q5" t="s">
        <v>82</v>
      </c>
      <c r="Z5" s="2"/>
      <c r="AA5">
        <v>2</v>
      </c>
      <c r="AB5">
        <v>4</v>
      </c>
      <c r="AC5" s="2"/>
      <c r="AE5" s="137" t="s">
        <v>274</v>
      </c>
      <c r="AF5" s="139"/>
      <c r="AG5" s="139">
        <f>吉凶判定表!P64</f>
        <v>-6</v>
      </c>
      <c r="AI5" t="s">
        <v>280</v>
      </c>
    </row>
    <row r="6" spans="2:40" x14ac:dyDescent="0.15">
      <c r="C6" t="s">
        <v>108</v>
      </c>
      <c r="E6">
        <f>吉凶判定表!I20</f>
        <v>2021</v>
      </c>
      <c r="F6" t="s">
        <v>109</v>
      </c>
      <c r="G6">
        <f>吉凶判定表!J20</f>
        <v>10</v>
      </c>
      <c r="H6" t="s">
        <v>150</v>
      </c>
      <c r="I6">
        <f>吉凶判定表!K20</f>
        <v>10</v>
      </c>
      <c r="J6" t="s">
        <v>112</v>
      </c>
      <c r="L6" t="str">
        <f>VLOOKUP(R7,R11:S19,2)</f>
        <v>六白金星</v>
      </c>
      <c r="M6" t="str">
        <f>VLOOKUP(S8,AH39:AI98,2,FALSE)</f>
        <v>丑</v>
      </c>
      <c r="N6" t="str">
        <f>VLOOKUP(T7,R11:S19,2)</f>
        <v>六白金星</v>
      </c>
      <c r="O6" t="str">
        <f>VLOOKUP(U8,AH39:AI98,2,FALSE)</f>
        <v>戌</v>
      </c>
      <c r="Q6" s="2">
        <f>DATE(E6,G6,I6)</f>
        <v>44479</v>
      </c>
      <c r="R6" t="s">
        <v>115</v>
      </c>
      <c r="S6" t="s">
        <v>116</v>
      </c>
      <c r="T6" t="s">
        <v>117</v>
      </c>
      <c r="U6" t="s">
        <v>118</v>
      </c>
      <c r="Z6" s="2">
        <f>DATE(E6,G6,I6)</f>
        <v>44479</v>
      </c>
      <c r="AC6" s="2"/>
      <c r="AE6" s="137" t="s">
        <v>183</v>
      </c>
      <c r="AF6" s="139">
        <f>吉凶判定表!O65</f>
        <v>-5</v>
      </c>
      <c r="AG6" s="139">
        <f>吉凶判定表!P65</f>
        <v>-5</v>
      </c>
    </row>
    <row r="7" spans="2:40" x14ac:dyDescent="0.15">
      <c r="Q7" t="s">
        <v>114</v>
      </c>
      <c r="R7">
        <f>VLOOKUP($Z$6,$AC$39:$AG$1527,3,TRUE)</f>
        <v>6</v>
      </c>
      <c r="S7">
        <f>VLOOKUP($S$8,$AH$39:$AJ$98,3,FALSE)</f>
        <v>2</v>
      </c>
      <c r="T7">
        <f>VLOOKUP($Z$6,$AC$39:$AG$1527,5,TRUE)</f>
        <v>6</v>
      </c>
      <c r="U7">
        <f>VLOOKUP($U$8,$AH$39:$AJ$98,3,FALSE)</f>
        <v>11</v>
      </c>
      <c r="AE7" s="137" t="s">
        <v>138</v>
      </c>
      <c r="AF7" s="139">
        <f>吉凶判定表!O66</f>
        <v>-3</v>
      </c>
      <c r="AG7" s="139">
        <f>吉凶判定表!P66</f>
        <v>-3</v>
      </c>
    </row>
    <row r="8" spans="2:40" x14ac:dyDescent="0.15">
      <c r="C8" s="3" t="s">
        <v>155</v>
      </c>
      <c r="D8" s="190" t="s">
        <v>156</v>
      </c>
      <c r="E8" s="190"/>
      <c r="F8" s="3" t="s">
        <v>157</v>
      </c>
      <c r="G8" s="190" t="s">
        <v>158</v>
      </c>
      <c r="H8" s="190"/>
      <c r="I8" s="3" t="s">
        <v>159</v>
      </c>
      <c r="J8" s="190" t="s">
        <v>160</v>
      </c>
      <c r="K8" s="190"/>
      <c r="L8" s="3" t="s">
        <v>161</v>
      </c>
      <c r="M8" s="190" t="s">
        <v>162</v>
      </c>
      <c r="N8" s="190"/>
      <c r="R8" s="145" t="s">
        <v>327</v>
      </c>
      <c r="S8">
        <f>VLOOKUP($Z$6,$AC$39:$AG$1527,2,TRUE)</f>
        <v>38</v>
      </c>
      <c r="T8" s="145" t="s">
        <v>327</v>
      </c>
      <c r="U8">
        <f>VLOOKUP($Z$6,$AC$39:$AG$1527,4,TRUE)</f>
        <v>35</v>
      </c>
      <c r="AE8" s="137" t="s">
        <v>276</v>
      </c>
      <c r="AF8" s="139">
        <f>吉凶判定表!O67</f>
        <v>4</v>
      </c>
      <c r="AG8" s="139">
        <f>吉凶判定表!P67</f>
        <v>4</v>
      </c>
    </row>
    <row r="9" spans="2:40" ht="14.25" thickBot="1" x14ac:dyDescent="0.2">
      <c r="C9" s="3" t="s">
        <v>113</v>
      </c>
      <c r="D9" s="3" t="s">
        <v>145</v>
      </c>
      <c r="E9" s="3" t="s">
        <v>146</v>
      </c>
      <c r="F9" s="3" t="s">
        <v>147</v>
      </c>
      <c r="G9" s="3" t="s">
        <v>148</v>
      </c>
      <c r="H9" s="3" t="s">
        <v>149</v>
      </c>
      <c r="I9" s="3" t="s">
        <v>139</v>
      </c>
      <c r="J9" s="3" t="s">
        <v>141</v>
      </c>
      <c r="K9" s="3" t="s">
        <v>142</v>
      </c>
      <c r="L9" s="3" t="s">
        <v>143</v>
      </c>
      <c r="M9" s="3" t="s">
        <v>144</v>
      </c>
      <c r="N9" s="3" t="s">
        <v>140</v>
      </c>
      <c r="R9" t="s">
        <v>121</v>
      </c>
      <c r="T9" t="s">
        <v>120</v>
      </c>
      <c r="AE9" s="138" t="s">
        <v>277</v>
      </c>
      <c r="AF9" s="139">
        <f>吉凶判定表!O68</f>
        <v>6</v>
      </c>
      <c r="AG9" s="139">
        <f>吉凶判定表!P68</f>
        <v>6</v>
      </c>
    </row>
    <row r="10" spans="2:40" x14ac:dyDescent="0.15">
      <c r="B10" s="4"/>
      <c r="C10" s="5" t="s">
        <v>171</v>
      </c>
      <c r="D10" s="5" t="s">
        <v>172</v>
      </c>
      <c r="E10" s="5" t="s">
        <v>173</v>
      </c>
      <c r="F10" s="5" t="s">
        <v>174</v>
      </c>
      <c r="G10" s="5" t="s">
        <v>175</v>
      </c>
      <c r="H10" s="5" t="s">
        <v>176</v>
      </c>
      <c r="I10" s="5" t="s">
        <v>177</v>
      </c>
      <c r="J10" s="5" t="s">
        <v>178</v>
      </c>
      <c r="K10" s="5" t="s">
        <v>179</v>
      </c>
      <c r="L10" s="5" t="s">
        <v>180</v>
      </c>
      <c r="M10" s="5" t="s">
        <v>181</v>
      </c>
      <c r="N10" s="5" t="s">
        <v>182</v>
      </c>
      <c r="W10" t="s">
        <v>98</v>
      </c>
      <c r="X10" t="s">
        <v>99</v>
      </c>
      <c r="Y10" t="s">
        <v>100</v>
      </c>
      <c r="Z10" t="s">
        <v>101</v>
      </c>
      <c r="AA10" t="s">
        <v>102</v>
      </c>
      <c r="AB10" t="s">
        <v>103</v>
      </c>
      <c r="AC10" t="s">
        <v>104</v>
      </c>
      <c r="AD10" t="s">
        <v>105</v>
      </c>
      <c r="AG10" t="s">
        <v>98</v>
      </c>
      <c r="AH10" t="s">
        <v>99</v>
      </c>
      <c r="AI10" t="s">
        <v>100</v>
      </c>
      <c r="AJ10" t="s">
        <v>101</v>
      </c>
      <c r="AK10" t="s">
        <v>102</v>
      </c>
      <c r="AL10" t="s">
        <v>103</v>
      </c>
      <c r="AM10" t="s">
        <v>104</v>
      </c>
      <c r="AN10" t="s">
        <v>105</v>
      </c>
    </row>
    <row r="11" spans="2:40" x14ac:dyDescent="0.15">
      <c r="B11" s="4"/>
      <c r="C11" s="3" t="s">
        <v>152</v>
      </c>
      <c r="D11" s="5" t="s">
        <v>163</v>
      </c>
      <c r="E11" s="5" t="s">
        <v>164</v>
      </c>
      <c r="F11" s="3" t="s">
        <v>151</v>
      </c>
      <c r="G11" s="5" t="s">
        <v>165</v>
      </c>
      <c r="H11" s="5" t="s">
        <v>166</v>
      </c>
      <c r="I11" s="3" t="s">
        <v>153</v>
      </c>
      <c r="J11" s="5" t="s">
        <v>167</v>
      </c>
      <c r="K11" s="5" t="s">
        <v>168</v>
      </c>
      <c r="L11" s="3" t="s">
        <v>154</v>
      </c>
      <c r="M11" s="5" t="s">
        <v>169</v>
      </c>
      <c r="N11" s="5" t="s">
        <v>170</v>
      </c>
      <c r="R11">
        <v>1</v>
      </c>
      <c r="S11" t="s">
        <v>122</v>
      </c>
      <c r="T11">
        <v>1</v>
      </c>
      <c r="U11" t="s">
        <v>119</v>
      </c>
      <c r="V11">
        <v>1</v>
      </c>
      <c r="W11">
        <f>IF(OR($R$3=4,$R$3=5),2,IF(OR($R$3=7,$R$3=8),3,IF($R$3=1,-2,IF($R$3=2,1,-3))))</f>
        <v>1</v>
      </c>
      <c r="X11">
        <f>IF(OR($R$3=5,$R$3=6),2,IF(OR($R$3=8,$R$3=9),3,IF($R$3=3,1,IF($R$3=2,-2,-3))))</f>
        <v>-2</v>
      </c>
      <c r="Y11">
        <f>IF(OR($R$3=6,$R$3=7),2,IF(OR($R$3=1,$R$3=9),3,IF($R$3=4,1,IF($R$3=3,-2,-3))))</f>
        <v>-3</v>
      </c>
      <c r="Z11">
        <f>IF(OR($R$3=7,$R$3=8),2,IF(OR($R$3=2,$R$3=5),3,IF($R$3=5,1,IF($R$3=4,-2,-3))))</f>
        <v>3</v>
      </c>
      <c r="AA11">
        <f>IF(OR($R$3=8,$R$3=9),2,IF(OR($R$3=2,$R$3=3),3,IF($R$3=6,1,IF($R$3=5,-2,-3))))</f>
        <v>3</v>
      </c>
      <c r="AB11">
        <f>IF(OR($R$3=1,$R$3=9),2,IF(OR($R$3=3,$R$3=4),3,IF($R$3=7,1,IF($R$3=6,-2,-3))))</f>
        <v>-3</v>
      </c>
      <c r="AC11">
        <f>IF(OR($R$3=1,$R$3=2),2,IF(OR($R$3=4,$R$3=5),3,IF($R$3=8,1,IF($R$3=7,-2,-3))))</f>
        <v>2</v>
      </c>
      <c r="AD11">
        <f>IF(OR($R$3=2,$R$3=3),2,IF(OR($R$3=5,$R$3=6),3,IF($R$3=9,1,IF($R$3=8,-2,-3))))</f>
        <v>2</v>
      </c>
      <c r="AE11" t="s">
        <v>0</v>
      </c>
      <c r="AF11">
        <v>1</v>
      </c>
      <c r="AG11">
        <f>IF(OR($R$4=4,$R$4=5),2,IF(OR($R$4=7,$R$4=8),3,IF($R$4=1,-2,IF($R$4=2,1,-3))))</f>
        <v>2</v>
      </c>
      <c r="AH11">
        <f>IF(OR($R$4=5,$R$4=6),2,IF(OR($R$4=8,$R$4=9),3,IF($R$4=3,1,IF($R$4=2,-2,-3))))</f>
        <v>-3</v>
      </c>
      <c r="AI11">
        <f>IF(OR($R$4=6,$R$4=7),2,IF(OR($R$4=1,$R$4=9),3,IF($R$4=4,1,IF($R$4=3,-2,-3))))</f>
        <v>1</v>
      </c>
      <c r="AJ11">
        <f>IF(OR($R$4=7,$R$4=8),2,IF(OR($R$4=2,$R$4=5),3,IF($R$4=5,1,IF($R$4=4,-2,-3))))</f>
        <v>-2</v>
      </c>
      <c r="AK11">
        <f>IF(OR($R$4=8,$R$4=9),2,IF(OR($R$4=2,$R$4=3),3,IF($R$4=6,1,IF($R$4=5,-2,-3))))</f>
        <v>-3</v>
      </c>
      <c r="AL11">
        <f>IF(OR($R$4=1,$R$4=9),2,IF(OR($R$4=3,$R$4=4),3,IF($R$4=7,1,IF($R$4=6,-2,-3))))</f>
        <v>3</v>
      </c>
      <c r="AM11">
        <f>IF(OR($R$4=1,$R$4=2),2,IF(OR($R$4=4,$R$4=5),3,IF($R$4=8,1,IF($R$4=7,-2,-3))))</f>
        <v>3</v>
      </c>
      <c r="AN11">
        <f>IF(OR($R$4=2,$R$4=3),2,IF(OR($R$4=5,$R$4=6),3,IF($R$4=9,1,IF($R$4=8,-2,-3))))</f>
        <v>-3</v>
      </c>
    </row>
    <row r="12" spans="2:40" x14ac:dyDescent="0.15">
      <c r="B12" s="4"/>
      <c r="C12" s="6" t="str">
        <f>U25</f>
        <v>二黒土星</v>
      </c>
      <c r="D12" s="6" t="str">
        <f>W25</f>
        <v>九紫火星</v>
      </c>
      <c r="E12" s="6" t="str">
        <f>W25</f>
        <v>九紫火星</v>
      </c>
      <c r="F12" s="6" t="str">
        <f>S25</f>
        <v>四緑木星</v>
      </c>
      <c r="G12" s="6" t="str">
        <f>R25</f>
        <v>五黄土星</v>
      </c>
      <c r="H12" s="6" t="str">
        <f>R25</f>
        <v>五黄土星</v>
      </c>
      <c r="I12" s="6" t="str">
        <f>V25</f>
        <v>一白水星</v>
      </c>
      <c r="J12" s="6" t="str">
        <f>T25</f>
        <v>三碧木星</v>
      </c>
      <c r="K12" s="6" t="str">
        <f>T25</f>
        <v>三碧木星</v>
      </c>
      <c r="L12" s="6" t="str">
        <f>X25</f>
        <v>八白土星</v>
      </c>
      <c r="M12" s="6" t="str">
        <f>Y25</f>
        <v>七赤金星</v>
      </c>
      <c r="N12" s="6" t="str">
        <f>Y25</f>
        <v>七赤金星</v>
      </c>
      <c r="O12" t="s">
        <v>132</v>
      </c>
      <c r="R12">
        <v>2</v>
      </c>
      <c r="S12" t="s">
        <v>123</v>
      </c>
      <c r="T12">
        <v>2</v>
      </c>
      <c r="U12" t="s">
        <v>145</v>
      </c>
      <c r="V12">
        <v>2</v>
      </c>
      <c r="W12">
        <f>IF(OR($R$3=4,$R$3=5),-3,IF(OR($R$3=7,$R$3=8),2,IF($R$3=1,3,IF($R$3=2,-2,1))))</f>
        <v>-2</v>
      </c>
      <c r="X12">
        <f>IF(OR($R$3=5,$R$3=6),-3,IF(OR($R$3=8,$R$3=9),2,IF($R$3=3,-2,IF($R$3=2,3,1))))</f>
        <v>3</v>
      </c>
      <c r="Y12">
        <f>IF(OR($R$3=6,$R$3=7),-3,IF(OR($R$3=1,$R$3=9),2,IF($R$3=4,-2,IF($R$3=3,3,1))))</f>
        <v>1</v>
      </c>
      <c r="Z12">
        <f>IF(OR($R$3=7,$R$3=8),-3,IF(OR($R$3=2,$R$3=5),2,IF($R$3=5,-2,IF($R$3=2,4,1))))</f>
        <v>2</v>
      </c>
      <c r="AA12">
        <f>IF(OR($R$3=8,$R$3=9),-3,IF(OR($R$3=2,$R$3=3),2,IF($R$3=6,-2,IF($R$3=5,3,1))))</f>
        <v>2</v>
      </c>
      <c r="AB12">
        <f>IF(OR($R$3=1,$R$3=9),-3,IF(OR($R$3=3,$R$3=4),2,IF($R$3=7,-2,IF($R$3=6,3,1))))</f>
        <v>1</v>
      </c>
      <c r="AC12">
        <f>IF(OR($R$3=1,$R$3=2),-3,IF(OR($R$3=4,$R$3=5),2,IF($R$3=8,-2,IF($R$3=7,3,1))))</f>
        <v>-3</v>
      </c>
      <c r="AD12">
        <f>IF(OR($R$3=2,$R$3=3),-3,IF(OR($R$3=5,$R$3=6),2,IF($R$3=9,-2,IF($R$3=8,3,1))))</f>
        <v>-3</v>
      </c>
      <c r="AE12" t="s">
        <v>91</v>
      </c>
      <c r="AF12">
        <v>2</v>
      </c>
      <c r="AG12">
        <f>IF(OR($R$4=4,$R$4=5),-3,IF(OR($R$4=7,$R$4=8),2,IF($R$4=1,3,IF($R$4=2,-2,1))))</f>
        <v>-3</v>
      </c>
      <c r="AH12">
        <f>IF(OR($R$4=5,$R$4=6),-3,IF(OR($R$4=8,$R$4=9),2,IF($R$4=3,-2,IF($R$4=2,3,1))))</f>
        <v>1</v>
      </c>
      <c r="AI12">
        <f>IF(OR($R$4=6,$R$4=7),-3,IF(OR($R$4=1,$R$4=9),2,IF($R$4=4,-2,IF($R$4=3,3,1))))</f>
        <v>-2</v>
      </c>
      <c r="AJ12">
        <f>IF(OR($R$4=7,$R$4=8),-3,IF(OR($R$4=2,$R$3=5),2,IF($R$4=5,-2,IF($R$4=2,4,1))))</f>
        <v>1</v>
      </c>
      <c r="AK12">
        <f>IF(OR($R$4=8,$R$4=9),-3,IF(OR($R$4=2,$R$4=3),2,IF($R$4=6,-2,IF($R$4=5,3,1))))</f>
        <v>1</v>
      </c>
      <c r="AL12">
        <f>IF(OR($R$4=1,$R$4=9),-3,IF(OR($R$4=3,$R$4=4),2,IF($R$4=7,-2,IF($R$4=6,3,1))))</f>
        <v>2</v>
      </c>
      <c r="AM12">
        <f>IF(OR($R$4=1,$R$4=2),-3,IF(OR($R$4=4,$R$4=5),2,IF($R$4=8,-2,IF($R$4=7,3,1))))</f>
        <v>2</v>
      </c>
      <c r="AN12">
        <f>IF(OR($R$4=2,$R$4=3),-3,IF(OR($R$4=5,$R$4=6),2,IF($R$4=9,-2,IF($R$4=8,3,1))))</f>
        <v>1</v>
      </c>
    </row>
    <row r="13" spans="2:40" x14ac:dyDescent="0.15">
      <c r="B13" s="242" t="s">
        <v>96</v>
      </c>
      <c r="C13">
        <f>IF($R$7=1,AF2,IF($R$7=9,AF3,0))</f>
        <v>0</v>
      </c>
      <c r="D13" s="5">
        <f>IF($R$7=8,AF2,IF($R$7=2,AF3,0))</f>
        <v>0</v>
      </c>
      <c r="E13" s="5">
        <f>IF($R$7=8,AF2,IF($R$7=2,AF3,0))</f>
        <v>0</v>
      </c>
      <c r="F13" s="5">
        <f>IF($R$7=3,AF2,IF($R$7=7,AF3,0))</f>
        <v>0</v>
      </c>
      <c r="G13" s="5">
        <f>IF($R$7=4,AF2,IF($R$7=6,AF3,0))</f>
        <v>-8</v>
      </c>
      <c r="H13" s="5">
        <f>IF($R$7=4,AF2,IF($R$7=6,AF3,0))</f>
        <v>-8</v>
      </c>
      <c r="I13">
        <f>IF($R$7=9,AF2,IF($R$7=1,AF3,0))</f>
        <v>0</v>
      </c>
      <c r="J13" s="5">
        <f>IF($R$7=2,AF2,IF($R$7=8,AF3,0))</f>
        <v>0</v>
      </c>
      <c r="K13" s="5">
        <f>IF($R$7=2,AF2,IF($R$7=8,AF3,0))</f>
        <v>0</v>
      </c>
      <c r="L13" s="5">
        <f>IF($R$7=7,AF2,IF($R$7=3,AF3,0))</f>
        <v>0</v>
      </c>
      <c r="M13" s="5">
        <f>IF($R$7=6,AF2,IF($R$7=4,AF3,0))</f>
        <v>-10</v>
      </c>
      <c r="N13" s="5">
        <f>IF($R$7=6,AF2,IF($R$7=4,AF3,0))</f>
        <v>-10</v>
      </c>
      <c r="O13" s="5" t="s">
        <v>97</v>
      </c>
      <c r="P13" s="5"/>
      <c r="R13">
        <v>3</v>
      </c>
      <c r="S13" t="s">
        <v>124</v>
      </c>
      <c r="T13">
        <v>3</v>
      </c>
      <c r="U13" t="s">
        <v>146</v>
      </c>
      <c r="V13">
        <v>3</v>
      </c>
      <c r="W13">
        <f>IF(OR($R$3=4,$R$3=5),1,IF(OR($R$3=7,$R$3=8),-3,IF($R$3=1,2,IF($R$3=2,3,-2))))</f>
        <v>3</v>
      </c>
      <c r="X13">
        <f>IF(OR($R$3=5,$R$3=6),1,IF(OR($R$3=8,$R$3=9),-3,IF($R$3=3,3,IF($R$3=2,2,-2))))</f>
        <v>2</v>
      </c>
      <c r="Y13">
        <f>IF(OR($R$3=6,$R$3=7),1,IF(OR($R$3=1,$R$3=9),-3,IF($R$3=4,3,IF($R$3=2,3,-2))))</f>
        <v>3</v>
      </c>
      <c r="Z13">
        <f>IF(OR($R$3=7,$R$3=8),1,IF(OR($R$3=2,$R$3=5),-3,IF($R$3=5,3,IF($R$3=4,2,-2))))</f>
        <v>-3</v>
      </c>
      <c r="AA13">
        <f>IF(OR($R$3=8,$R$3=9),1,IF(OR($R$3=2,$R$3=3),-3,IF($R$3=6,3,IF($R$3=5,2,-2))))</f>
        <v>-3</v>
      </c>
      <c r="AB13">
        <f>IF(OR($R$3=1,$R$3=9),1,IF(OR($R$3=3,$R$3=4),-3,IF($R$3=7,3,IF($R$3=6,2,-2))))</f>
        <v>-2</v>
      </c>
      <c r="AC13">
        <f>IF(OR($R$3=1,$R$3=2),1,IF(OR($R$3=4,$R$3=5),-3,IF($R$3=8,3,IF($R$3=7,2,-2))))</f>
        <v>1</v>
      </c>
      <c r="AD13">
        <f>IF(OR($R$3=2,$R$3=3),1,IF(OR($R$3=5,$R$3=6),-3,IF($R$3=9,3,IF($R$3=8,2,-2))))</f>
        <v>1</v>
      </c>
      <c r="AE13" t="s">
        <v>92</v>
      </c>
      <c r="AF13">
        <v>3</v>
      </c>
      <c r="AG13">
        <f>IF(OR($R$4=4,$R$4=5),1,IF(OR($R$4=7,$R$4=8),-3,IF($R$4=1,2,IF($R$4=2,3,-2))))</f>
        <v>1</v>
      </c>
      <c r="AH13">
        <f>IF(OR($R$4=5,$R$4=6),1,IF(OR($R$4=8,$R$4=9),-3,IF($R$4=3,3,IF($R$4=2,2,-2))))</f>
        <v>-2</v>
      </c>
      <c r="AI13">
        <f>IF(OR($R$4=6,$R$4=7),1,IF(OR($R$4=1,$R$4=9),-3,IF($R$4=4,3,IF($R$4=2,3,-2))))</f>
        <v>3</v>
      </c>
      <c r="AJ13">
        <f>IF(OR($R$4=7,$R$4=8),1,IF(OR($R$4=2,$R$4=5),-3,IF($R$4=5,3,IF($R$4=4,2,-2))))</f>
        <v>2</v>
      </c>
      <c r="AK13">
        <f>IF(OR($R$4=8,$R$4=9),1,IF(OR($R$4=2,$R$4=3),-3,IF($R$4=6,3,IF($R$4=5,2,-2))))</f>
        <v>-2</v>
      </c>
      <c r="AL13">
        <f>IF(OR($R$4=1,$R$4=9),1,IF(OR($R$4=3,$R$4=4),-3,IF($R$4=7,3,IF($R$4=6,2,-2))))</f>
        <v>-3</v>
      </c>
      <c r="AM13">
        <f>IF(OR($R$4=1,$R$4=2),1,IF(OR($R$4=4,$R$4=5),-3,IF($R$4=8,3,IF($R$4=7,2,-2))))</f>
        <v>-3</v>
      </c>
      <c r="AN13">
        <f>IF(OR($R$4=2,$R$4=3),1,IF(OR($R$4=5,$R$4=6),-3,IF($R$4=9,3,IF($R$4=8,2,-2))))</f>
        <v>-2</v>
      </c>
    </row>
    <row r="14" spans="2:40" x14ac:dyDescent="0.15">
      <c r="B14" s="242"/>
      <c r="C14" s="5">
        <f>IF($S$7=7,AF4,IF(OR($S$7=5,$S$7=9),AF9,IF($S$7=1,AF8,0)))</f>
        <v>0</v>
      </c>
      <c r="D14" s="5">
        <f>IF($S$7=8,AF4,IF(OR($S$7=6,$S$7=10),AF9,IF($S$7=2,AF8,0)))</f>
        <v>4</v>
      </c>
      <c r="E14" s="5">
        <f>IF($S$7=9,AF4,IF(OR($S$7=7,$S$7=11),AF9,IF($S$7=3,AF8,0)))</f>
        <v>0</v>
      </c>
      <c r="F14" s="5">
        <f>IF($S$7=10,AF4,IF(OR($S$7=8,$S$7=12),AF9,IF($S$7=4,AF8,0)))</f>
        <v>0</v>
      </c>
      <c r="G14" s="5">
        <f>IF($S$7=11,AF4,IF(OR($S$7=1,$S$7=9),AF9,IF($S$7=5,AF8,0)))</f>
        <v>0</v>
      </c>
      <c r="H14" s="5">
        <f>IF($S$7=12,AF4,IF(OR($S$7=2,$S$7=10),AF9,IF($S$7=6,AF8,0)))</f>
        <v>6</v>
      </c>
      <c r="I14" s="5">
        <f>IF($S$7=1,AF4,IF(OR($S$7=3,$S$7=11),AF9,IF($S$7=7,AF8,0)))</f>
        <v>0</v>
      </c>
      <c r="J14" s="5">
        <f>IF($S$7=2,AF4,IF(OR($S$7=4,$S$7=12),AF9,IF($S$7=8,AF8,0)))</f>
        <v>-6</v>
      </c>
      <c r="K14" s="5">
        <f>IF($S$7=3,AF4,IF(OR($S$7=1,$S$7=5),AF9,IF($S$7=9,AF8,0)))</f>
        <v>0</v>
      </c>
      <c r="L14" s="5">
        <f>IF($S$7=4,AF4,IF(OR($S$7=2,$S$7=6),AF9,IF($S$7=10,AF8,0)))</f>
        <v>6</v>
      </c>
      <c r="M14" s="5">
        <f>IF($S$7=5,AF4,IF(OR($S$7=3,$S$7=7),AF9,IF($S$7=11,AF8,0)))</f>
        <v>0</v>
      </c>
      <c r="N14" s="5">
        <f>IF($S$7=6,AF4,IF(OR($S$7=4,$S$7=8),AF9,IF($S$7=12,AF8,0)))</f>
        <v>0</v>
      </c>
      <c r="O14" t="s">
        <v>133</v>
      </c>
      <c r="R14">
        <v>4</v>
      </c>
      <c r="S14" t="s">
        <v>125</v>
      </c>
      <c r="T14">
        <v>4</v>
      </c>
      <c r="U14" t="s">
        <v>147</v>
      </c>
      <c r="V14">
        <v>4</v>
      </c>
      <c r="W14">
        <f>IF(OR($R$3=4,$R$3=5),1,IF(OR($R$3=7,$R$3=8),-3,IF($R$3=1,2,IF($R$3=2,3,-2))))</f>
        <v>3</v>
      </c>
      <c r="X14">
        <f>IF(OR($R$3=5,$R$3=6),1,IF(OR($R$3=8,$R$3=9),-3,IF($R$3=3,3,IF($R$3=2,2,-2))))</f>
        <v>2</v>
      </c>
      <c r="Y14">
        <f>IF(OR($R$3=6,$R$3=7),1,IF(OR($R$3=1,$R$3=9),-3,IF($R$3=4,3,IF($R$3=2,3,-2))))</f>
        <v>3</v>
      </c>
      <c r="Z14">
        <f>IF(OR($R$3=7,$R$3=8),1,IF(OR($R$3=2,$R$3=5),-3,IF($R$3=5,3,IF($R$3=4,2,-2))))</f>
        <v>-3</v>
      </c>
      <c r="AA14">
        <f>IF(OR($R$3=8,$R$3=9),1,IF(OR($R$3=2,$R$3=3),-3,IF($R$3=6,3,IF($R$3=5,2,-2))))</f>
        <v>-3</v>
      </c>
      <c r="AB14">
        <f>IF(OR($R$3=1,$R$3=9),1,IF(OR($R$3=3,$R$3=4),-3,IF($R$3=7,3,IF($R$3=6,2,-2))))</f>
        <v>-2</v>
      </c>
      <c r="AC14">
        <f>IF(OR($R$3=1,$R$3=2),1,IF(OR($R$3=4,$R$3=5),-3,IF($R$3=8,3,IF($R$3=7,2,-2))))</f>
        <v>1</v>
      </c>
      <c r="AD14">
        <f>IF(OR($R$3=2,$R$3=3),1,IF(OR($R$3=5,$R$3=6),-3,IF($R$3=9,3,IF($R$3=8,2,-2))))</f>
        <v>1</v>
      </c>
      <c r="AE14" t="s">
        <v>92</v>
      </c>
      <c r="AF14">
        <v>4</v>
      </c>
      <c r="AG14">
        <f>IF(OR($R$4=4,$R$4=5),1,IF(OR($R$4=7,$R$4=8),-3,IF($R$4=1,2,IF($R$4=2,3,-2))))</f>
        <v>1</v>
      </c>
      <c r="AH14">
        <f>IF(OR($R$4=5,$R$4=6),1,IF(OR($R$4=8,$R$4=9),-3,IF($R$4=3,3,IF($R$4=2,2,-2))))</f>
        <v>-2</v>
      </c>
      <c r="AI14">
        <f>IF(OR($R$4=6,$R$4=7),1,IF(OR($R$4=1,$R$4=9),-3,IF($R$4=4,3,IF($R$4=2,3,-2))))</f>
        <v>3</v>
      </c>
      <c r="AJ14">
        <f>IF(OR($R$4=7,$R$4=8),1,IF(OR($R$4=2,$R$4=5),-3,IF($R$4=5,3,IF($R$4=4,2,-2))))</f>
        <v>2</v>
      </c>
      <c r="AK14">
        <f>IF(OR($R$4=8,$R$4=9),1,IF(OR($R$4=2,$R$4=3),-3,IF($R$4=6,3,IF($R$4=5,2,-2))))</f>
        <v>-2</v>
      </c>
      <c r="AL14">
        <f>IF(OR($R$4=1,$R$4=9),1,IF(OR($R$4=3,$R$4=4),-3,IF($R$4=7,3,IF($R$4=6,2,-2))))</f>
        <v>-3</v>
      </c>
      <c r="AM14">
        <f>IF(OR($R$4=1,$R$4=2),1,IF(OR($R$4=4,$R$4=5),-3,IF($R$4=4,3,IF($R$4=7,2,-2))))</f>
        <v>-3</v>
      </c>
      <c r="AN14">
        <f>IF(OR($R$4=2,$R$4=3),1,IF(OR($R$4=5,$R$4=6),-3,IF($R$4=9,3,IF($R$4=8,2,-2))))</f>
        <v>-2</v>
      </c>
    </row>
    <row r="15" spans="2:40" x14ac:dyDescent="0.15">
      <c r="B15" s="242"/>
      <c r="C15" s="5">
        <f>U29</f>
        <v>-5</v>
      </c>
      <c r="D15" s="5">
        <f>W29</f>
        <v>0</v>
      </c>
      <c r="E15" s="5">
        <f>W29</f>
        <v>0</v>
      </c>
      <c r="F15" s="5">
        <f>S29</f>
        <v>0</v>
      </c>
      <c r="G15" s="5">
        <f>R29</f>
        <v>0</v>
      </c>
      <c r="H15" s="5">
        <f>R29</f>
        <v>0</v>
      </c>
      <c r="I15" s="5">
        <f>V29</f>
        <v>-3</v>
      </c>
      <c r="J15" s="5">
        <f>T29</f>
        <v>0</v>
      </c>
      <c r="K15" s="5">
        <f>T29</f>
        <v>0</v>
      </c>
      <c r="L15" s="5">
        <f>X29</f>
        <v>0</v>
      </c>
      <c r="M15" s="5">
        <f>Y29</f>
        <v>0</v>
      </c>
      <c r="N15" s="5">
        <f>Y29</f>
        <v>0</v>
      </c>
      <c r="O15" t="s">
        <v>134</v>
      </c>
      <c r="R15">
        <v>5</v>
      </c>
      <c r="S15" t="s">
        <v>126</v>
      </c>
      <c r="T15">
        <v>5</v>
      </c>
      <c r="U15" t="s">
        <v>148</v>
      </c>
      <c r="V15">
        <v>5</v>
      </c>
      <c r="W15">
        <f>IF(OR($R$3=4,$R$3=5),-3,IF(OR($R$3=7,$R$3=8),2,IF($R$3=1,3,IF($R$3=2,-2,1))))</f>
        <v>-2</v>
      </c>
      <c r="X15">
        <f>IF(OR($R$3=5,$R$3=6),-3,IF(OR($R$3=8,$R$3=9),2,IF($R$3=3,-2,IF($R$3=2,3,1))))</f>
        <v>3</v>
      </c>
      <c r="Y15">
        <f>IF(OR($R$3=6,$R$3=7),-3,IF(OR($R$3=1,$R$3=9),2,IF($R$3=4,-2,IF($R$3=3,3,1))))</f>
        <v>1</v>
      </c>
      <c r="Z15">
        <f>IF(OR($R$3=7,$R$3=8),-3,IF(OR($R$3=2,$R$3=5),2,IF($R$3=5,-2,IF($R$3=2,4,1))))</f>
        <v>2</v>
      </c>
      <c r="AA15">
        <f>IF(OR($R$3=8,$R$3=9),-3,IF(OR($R$3=2,$R$3=3),2,IF($R$3=6,-2,IF($R$3=5,3,1))))</f>
        <v>2</v>
      </c>
      <c r="AB15">
        <f>IF(OR($R$3=1,$R$3=9),-3,IF(OR($R$3=3,$R$3=4),2,IF($R$3=7,-2,IF($R$3=6,3,1))))</f>
        <v>1</v>
      </c>
      <c r="AC15">
        <f>IF(OR($R$3=1,$R$3=2),-3,IF(OR($R$3=4,$R$3=5),2,IF($R$3=8,-2,IF($R$3=7,3,1))))</f>
        <v>-3</v>
      </c>
      <c r="AD15">
        <f>IF(OR($R$3=2,$R$3=3),-3,IF(OR($R$3=5,$R$3=6),2,IF($R$3=9,-2,IF($R$3=8,3,1))))</f>
        <v>-3</v>
      </c>
      <c r="AE15" t="s">
        <v>91</v>
      </c>
      <c r="AF15">
        <v>5</v>
      </c>
      <c r="AG15">
        <f>IF(OR($R$4=4,$R$4=5),-3,IF(OR($R$4=7,$R$4=8),2,IF($R$4=1,3,IF($R$4=2,-2,1))))</f>
        <v>-3</v>
      </c>
      <c r="AH15">
        <f>IF(OR($R$4=5,$R$4=6),-3,IF(OR($R$4=8,$R$4=9),2,IF($R$4=3,-2,IF($R$4=2,3,1))))</f>
        <v>1</v>
      </c>
      <c r="AI15">
        <f>IF(OR($R$4=4,$R$4=7),-3,IF(OR($R$4=1,$R$4=9),2,IF($R$4=4,-2,IF($R$4=3,3,1))))</f>
        <v>-3</v>
      </c>
      <c r="AJ15">
        <f>IF(OR($R$4=7,$R$4=8),-3,IF(OR($R$4=2,$R$4=5),2,IF($R$4=5,-2,IF($R$4=2,4,1))))</f>
        <v>1</v>
      </c>
      <c r="AK15">
        <f>IF(OR($R$4=8,$R$4=9),-3,IF(OR($R$4=2,$R$4=3),2,IF($R$4=6,-2,IF($R$4=5,3,1))))</f>
        <v>1</v>
      </c>
      <c r="AL15">
        <f>IF(OR($R$4=1,$R$4=9),-3,IF(OR($R$4=3,$R$4=4),2,IF($R$4=7,-2,IF($R$4=6,3,1))))</f>
        <v>2</v>
      </c>
      <c r="AM15">
        <f>IF(OR($R$4=1,$R$4=2),-3,IF(OR($R$4=4,$R$4=5),2,IF($R$4=8,-2,IF($R$4=7,3,1))))</f>
        <v>2</v>
      </c>
      <c r="AN15">
        <f>IF(OR($R$4=2,$R$4=3),-3,IF(OR($R$4=5,$R$4=6),2,IF($R$4=9,-2,IF($R$4=8,3,1))))</f>
        <v>1</v>
      </c>
    </row>
    <row r="16" spans="2:40" x14ac:dyDescent="0.15">
      <c r="B16" s="242"/>
      <c r="C16" s="130">
        <f>VLOOKUP(CONCATENATE($R$7,$R$3),$Q$39:$Y$119,2)</f>
        <v>1</v>
      </c>
      <c r="D16" s="130">
        <f>VLOOKUP(CONCATENATE($R$7,$R$3),$Q$39:$Y$119,3)</f>
        <v>3</v>
      </c>
      <c r="E16" s="130">
        <f>VLOOKUP(CONCATENATE($R$7,$R$3),$Q$39:$Y$119,3)</f>
        <v>3</v>
      </c>
      <c r="F16" s="130">
        <f>VLOOKUP(CONCATENATE($R$7,$R$3),$Q$39:$Y$119,4)</f>
        <v>-3</v>
      </c>
      <c r="G16" s="130">
        <f>VLOOKUP(CONCATENATE($R$7,$R$3),$Q$39:$Y$119,5)</f>
        <v>1</v>
      </c>
      <c r="H16" s="130">
        <f>VLOOKUP(CONCATENATE($R$7,$R$3),$Q$39:$Y$119,5)</f>
        <v>1</v>
      </c>
      <c r="I16" s="130">
        <f>VLOOKUP(CONCATENATE($R$7,$R$3),$Q$39:$Y$119,6)</f>
        <v>-2</v>
      </c>
      <c r="J16" s="130">
        <f>VLOOKUP(CONCATENATE($R$7,$R$3),$Q$39:$Y$119,7)</f>
        <v>-3</v>
      </c>
      <c r="K16" s="130">
        <f>VLOOKUP(CONCATENATE($R$7,$R$3),$Q$39:$Y$119,7)</f>
        <v>-3</v>
      </c>
      <c r="L16" s="130">
        <f>VLOOKUP(CONCATENATE($R$7,$R$3),$Q$39:$Y$119,8)</f>
        <v>1</v>
      </c>
      <c r="M16" s="130">
        <f>VLOOKUP(CONCATENATE($R$7,$R$3),$Q$39:$Y$119,9)</f>
        <v>2</v>
      </c>
      <c r="N16" s="130">
        <f>VLOOKUP(CONCATENATE($R$7,$R$3),$Q$39:$Y$119,9)</f>
        <v>2</v>
      </c>
      <c r="O16" t="s">
        <v>135</v>
      </c>
      <c r="R16">
        <v>6</v>
      </c>
      <c r="S16" t="s">
        <v>127</v>
      </c>
      <c r="T16">
        <v>6</v>
      </c>
      <c r="U16" t="s">
        <v>149</v>
      </c>
      <c r="V16">
        <v>6</v>
      </c>
      <c r="W16">
        <f>IF(OR($R$3=4,$R$3=5),-2,IF(OR($R$3=7,$R$3=8),1,IF($R$3=1,-3,IF($R$3=2,2,3))))</f>
        <v>2</v>
      </c>
      <c r="X16">
        <f>IF(OR($R$3=5,$R$3=6),-2,IF(OR($R$3=8,$R$3=9),1,IF($R$3=3,2,IF($R$3=2,-3,3))))</f>
        <v>-3</v>
      </c>
      <c r="Y16">
        <f>IF(OR($R$3=6,$R$3=7),-2,IF(OR($R$3=1,$R$3=9),1,IF($R$3=4,2,IF($R$3=3,-3,3))))</f>
        <v>3</v>
      </c>
      <c r="Z16">
        <f>IF(OR($R$3=7,$R$3=8),-2,IF(OR($R$3=2,$R$3=5),1,IF($R$3=5,2,IF($R$3=4,-3,3))))</f>
        <v>1</v>
      </c>
      <c r="AA16">
        <f>IF(OR($R$3=8,$R$3=9),-2,IF(OR($R$3=2,$R$3=3),1,IF($R$3=6,2,IF($R$3=5,-3,3))))</f>
        <v>1</v>
      </c>
      <c r="AB16">
        <f>IF(OR($R$3=1,$R$3=9),-2,IF(OR($R$3=3,$R$3=4),1,IF($R$3=7,2,IF($R$3=6,-3,3))))</f>
        <v>3</v>
      </c>
      <c r="AC16">
        <f>IF(OR($R$3=1,$R$3=2),-2,IF(OR($R$3=4,$R$3=5),1,IF($R$3=8,2,IF($R$3=7,-3,3))))</f>
        <v>-2</v>
      </c>
      <c r="AD16">
        <f>IF(OR($R$3=2,$R$3=3),-2,IF(OR($R$3=5,$R$3=6),1,IF($R$3=9,2,IF($R$3=8,-3,3))))</f>
        <v>-2</v>
      </c>
      <c r="AE16" t="s">
        <v>93</v>
      </c>
      <c r="AF16">
        <v>6</v>
      </c>
      <c r="AG16">
        <f>IF(OR($R$4=4,$R$4=5),-2,IF(OR($R$4=7,$R$4=8),1,IF($R$4=1,-3,IF($R$4=2,2,3))))</f>
        <v>-2</v>
      </c>
      <c r="AH16">
        <f>IF(OR($R$4=5,$R$4=6),-2,IF(OR($R$4=8,$R$4=9),1,IF($R$4=3,2,IF($R$4=2,-3,3))))</f>
        <v>3</v>
      </c>
      <c r="AI16">
        <f>IF(OR($R$4=6,$R$4=7),-2,IF(OR($R$4=1,$R$4=9),1,IF($R$4=4,2,IF($R$4=3,-3,3))))</f>
        <v>2</v>
      </c>
      <c r="AJ16">
        <f>IF(OR($R$4=7,$R$4=8),-2,IF(OR($R$4=2,$R$4=5),1,IF($R$4=5,2,IF($R$4=4,-3,3))))</f>
        <v>-3</v>
      </c>
      <c r="AK16">
        <f>IF(OR($R$4=8,$R$4=9),-2,IF(OR($R$4=2,$R$4=3),1,IF($R$4=6,2,IF($R$4=5,-3,3))))</f>
        <v>3</v>
      </c>
      <c r="AL16">
        <f>IF(OR($R$4=1,$R$4=9),-2,IF(OR($R$4=3,$R$4=4),1,IF($R$4=7,2,IF($R$4=6,-3,3))))</f>
        <v>1</v>
      </c>
      <c r="AM16">
        <f>IF(OR($R$4=1,$R$4=2),-2,IF(OR($R$4=4,$R$4=5),1,IF($R$4=8,2,IF($R$4=7,-3,3))))</f>
        <v>1</v>
      </c>
      <c r="AN16">
        <f>IF(OR($R$4=2,$R$4=3),-2,IF(OR($R$4=5,$R$4=6),1,IF($R$4=9,2,IF($R$4=8,-3,3))))</f>
        <v>3</v>
      </c>
    </row>
    <row r="17" spans="2:40" x14ac:dyDescent="0.15">
      <c r="B17" s="242"/>
      <c r="C17" s="3">
        <f t="shared" ref="C17:N17" si="0">SUM(C13:C16)</f>
        <v>-4</v>
      </c>
      <c r="D17" s="3">
        <f t="shared" si="0"/>
        <v>7</v>
      </c>
      <c r="E17" s="3">
        <f t="shared" si="0"/>
        <v>3</v>
      </c>
      <c r="F17" s="3">
        <f t="shared" si="0"/>
        <v>-3</v>
      </c>
      <c r="G17" s="3">
        <f t="shared" si="0"/>
        <v>-7</v>
      </c>
      <c r="H17" s="3">
        <f t="shared" si="0"/>
        <v>-1</v>
      </c>
      <c r="I17" s="3">
        <f t="shared" si="0"/>
        <v>-5</v>
      </c>
      <c r="J17" s="3">
        <f t="shared" si="0"/>
        <v>-9</v>
      </c>
      <c r="K17" s="3">
        <f t="shared" si="0"/>
        <v>-3</v>
      </c>
      <c r="L17" s="3">
        <f t="shared" si="0"/>
        <v>7</v>
      </c>
      <c r="M17" s="3">
        <f t="shared" si="0"/>
        <v>-8</v>
      </c>
      <c r="N17" s="3">
        <f t="shared" si="0"/>
        <v>-8</v>
      </c>
      <c r="O17" t="s">
        <v>136</v>
      </c>
      <c r="R17">
        <v>7</v>
      </c>
      <c r="S17" t="s">
        <v>128</v>
      </c>
      <c r="T17">
        <v>7</v>
      </c>
      <c r="U17" t="s">
        <v>139</v>
      </c>
      <c r="V17">
        <v>7</v>
      </c>
      <c r="W17">
        <f>IF(OR($R$3=4,$R$3=5),-2,IF(OR($R$3=7,$R$3=8),1,IF($R$3=1,-3,IF($R$3=2,2,3))))</f>
        <v>2</v>
      </c>
      <c r="X17">
        <f>IF(OR($R$3=5,$R$3=6),-2,IF(OR($R$3=8,$R$3=9),1,IF($R$3=3,2,IF($R$3=2,-3,3))))</f>
        <v>-3</v>
      </c>
      <c r="Y17">
        <f>IF(OR($R$3=6,$R$3=7),-2,IF(OR($R$3=1,$R$3=9),1,IF($R$3=4,2,IF($R$3=3,-3,3))))</f>
        <v>3</v>
      </c>
      <c r="Z17">
        <f>IF(OR($R$3=7,$R$3=8),-2,IF(OR($R$3=2,$R$3=5),1,IF($R$3=5,2,IF($R$3=4,-3,3))))</f>
        <v>1</v>
      </c>
      <c r="AA17">
        <f>IF(OR($R$3=8,$R$3=9),-2,IF(OR($R$3=2,$R$3=3),1,IF($R$3=6,2,IF($R$3=5,-3,3))))</f>
        <v>1</v>
      </c>
      <c r="AB17">
        <f>IF(OR($R$3=1,$R$3=9),-2,IF(OR($R$3=3,$R$3=4),1,IF($R$3=7,2,IF($R$3=6,-3,3))))</f>
        <v>3</v>
      </c>
      <c r="AC17">
        <f>IF(OR($R$3=1,$R$3=2),-2,IF(OR($R$3=4,$R$3=5),1,IF($R$3=8,2,IF($R$3=7,-3,3))))</f>
        <v>-2</v>
      </c>
      <c r="AD17">
        <f>IF(OR($R$3=2,$R$3=3),-2,IF(OR($R$3=5,$R$3=6),1,IF($R$3=9,2,IF($R$3=8,-3,3))))</f>
        <v>-2</v>
      </c>
      <c r="AE17" t="s">
        <v>94</v>
      </c>
      <c r="AF17">
        <v>7</v>
      </c>
      <c r="AG17">
        <f>IF(OR($R$4=4,$R$4=5),-2,IF(OR($R$4=7,$R$4=8),1,IF($R$4=1,-3,IF($R$4=2,2,3))))</f>
        <v>-2</v>
      </c>
      <c r="AH17">
        <f>IF(OR($R$4=5,$R$4=6),-2,IF(OR($R$4=8,$R$4=9),1,IF($R$4=3,2,IF($R$4=2,-3,3))))</f>
        <v>3</v>
      </c>
      <c r="AI17">
        <f>IF(OR($R$4=6,$R$4=7),-2,IF(OR($R$4=1,$R$4=9),1,IF($R$4=4,2,IF($R$4=3,-3,3))))</f>
        <v>2</v>
      </c>
      <c r="AJ17">
        <f>IF(OR($R$4=7,$R$4=8),-2,IF(OR($R$4=2,$R$4=5),1,IF($R$4=5,2,IF($R$4=4,-3,3))))</f>
        <v>-3</v>
      </c>
      <c r="AK17">
        <f>IF(OR($R$4=8,$R$4=9),-2,IF(OR($R$4=2,$R$4=3),1,IF($R$4=6,2,IF($R$4=5,-3,3))))</f>
        <v>3</v>
      </c>
      <c r="AL17">
        <f>IF(OR($R$4=1,$R$4=9),-2,IF(OR($R$4=3,$R$4=4),1,IF($R$4=7,2,IF($R$4=6,-3,3))))</f>
        <v>1</v>
      </c>
      <c r="AM17">
        <f>IF(OR($R$4=1,$R$4=2),-2,IF(OR($R$4=4,$R$4=5),1,IF($R$4=8,2,IF($R$4=7,-3,3))))</f>
        <v>1</v>
      </c>
      <c r="AN17">
        <f>IF(OR($R$4=2,$R$4=3),-2,IF(OR($R$4=5,$R$4=6),1,IF($R$4=9,2,IF($R$4=8,-3,3))))</f>
        <v>3</v>
      </c>
    </row>
    <row r="18" spans="2:40" ht="12.75" customHeight="1" x14ac:dyDescent="0.15">
      <c r="C18" s="3" t="s">
        <v>152</v>
      </c>
      <c r="D18" s="5" t="s">
        <v>163</v>
      </c>
      <c r="E18" s="5" t="s">
        <v>164</v>
      </c>
      <c r="F18" s="3" t="s">
        <v>151</v>
      </c>
      <c r="G18" s="5" t="s">
        <v>165</v>
      </c>
      <c r="H18" s="5" t="s">
        <v>166</v>
      </c>
      <c r="I18" s="3" t="s">
        <v>153</v>
      </c>
      <c r="J18" s="5" t="s">
        <v>167</v>
      </c>
      <c r="K18" s="5" t="s">
        <v>168</v>
      </c>
      <c r="L18" s="3" t="s">
        <v>154</v>
      </c>
      <c r="M18" s="5" t="s">
        <v>169</v>
      </c>
      <c r="N18" s="5" t="s">
        <v>170</v>
      </c>
      <c r="R18">
        <v>8</v>
      </c>
      <c r="S18" t="s">
        <v>129</v>
      </c>
      <c r="T18">
        <v>8</v>
      </c>
      <c r="U18" t="s">
        <v>141</v>
      </c>
      <c r="V18">
        <v>8</v>
      </c>
      <c r="W18">
        <f>IF(OR($R$3=4,$R$3=5),-3,IF(OR($R$3=7,$R$3=8),2,IF($R$3=1,3,IF($R$3=2,-2,1))))</f>
        <v>-2</v>
      </c>
      <c r="X18">
        <f>IF(OR($R$3=5,$R$3=6),-3,IF(OR($R$3=8,$R$3=9),2,IF($R$3=3,-2,IF($R$3=2,3,1))))</f>
        <v>3</v>
      </c>
      <c r="Y18">
        <f>IF(OR($R$3=6,$R$3=7),-3,IF(OR($R$3=1,$R$3=9),2,IF($R$3=4,-2,IF($R$3=3,3,1))))</f>
        <v>1</v>
      </c>
      <c r="Z18">
        <f>IF(OR($R$3=7,$R$3=8),-3,IF(OR($R$3=2,$R$3=5),2,IF($R$3=5,-2,IF($R$3=2,4,1))))</f>
        <v>2</v>
      </c>
      <c r="AA18">
        <f>IF(OR($R$3=8,$R$3=9),-3,IF(OR($R$3=2,$R$3=3),2,IF($R$3=6,-2,IF($R$3=5,3,1))))</f>
        <v>2</v>
      </c>
      <c r="AB18">
        <f>IF(OR($R$3=1,$R$3=9),-3,IF(OR($R$3=3,$R$3=4),2,IF($R$3=7,-2,IF($R$3=6,3,1))))</f>
        <v>1</v>
      </c>
      <c r="AC18">
        <f>IF(OR($R$3=1,$R$3=2),-3,IF(OR($R$3=4,$R$3=5),2,IF($R$3=8,-2,IF($R$3=7,3,1))))</f>
        <v>-3</v>
      </c>
      <c r="AD18">
        <f>IF(OR($R$3=2,$R$3=3),-3,IF(OR($R$3=5,$R$3=6),2,IF($R$3=9,-2,IF($R$3=8,3,1))))</f>
        <v>-3</v>
      </c>
      <c r="AE18" t="s">
        <v>91</v>
      </c>
      <c r="AF18">
        <v>8</v>
      </c>
      <c r="AG18">
        <f>IF(OR($R$4=4,$R$4=5),-3,IF(OR($R$4=7,$R$4=8),2,IF($R$4=1,3,IF($R$4=2,-2,1))))</f>
        <v>-3</v>
      </c>
      <c r="AH18">
        <f>IF(OR($R$4=5,$R$4=6),-3,IF(OR($R$4=8,$R$4=9),2,IF($R$4=3,-2,IF($R$4=2,3,1))))</f>
        <v>1</v>
      </c>
      <c r="AI18">
        <f>IF(OR($R$4=6,$R$4=7),-3,IF(OR($R$4=1,$R$4=9),2,IF($R$4=4,-2,IF($R$4=3,3,1))))</f>
        <v>-2</v>
      </c>
      <c r="AJ18">
        <f>IF(OR($R$4=7,$R$4=8),-3,IF(OR($R$4=2,$R$4=5),2,IF($R$4=5,-2,IF($R$4=2,4,1))))</f>
        <v>1</v>
      </c>
      <c r="AK18">
        <f>IF(OR($R$4=8,$R$4=9),-3,IF(OR($R$4=2,$R$4=3),2,IF($R$4=6,-2,IF($R$4=5,3,1))))</f>
        <v>1</v>
      </c>
      <c r="AL18">
        <f>IF(OR($R$4=1,$R$4=9),-3,IF(OR($R$4=3,$R$4=4),2,IF($R$4=7,-2,IF($R$4=6,3,1))))</f>
        <v>2</v>
      </c>
      <c r="AM18">
        <f>IF(OR($R$4=1,$R$4=2),-3,IF(OR($R$4=4,$R$4=5),2,IF($R$4=8,-2,IF($R$4=7,3,1))))</f>
        <v>2</v>
      </c>
      <c r="AN18">
        <f>IF(OR($R$4=2,$R$4=3),-3,IF(OR($R$4=5,$R$4=6),2,IF($R$4=9,-2,IF($R$4=8,3,1))))</f>
        <v>1</v>
      </c>
    </row>
    <row r="19" spans="2:40" x14ac:dyDescent="0.15">
      <c r="B19" s="10"/>
      <c r="C19" s="5">
        <f>U32+U33</f>
        <v>0</v>
      </c>
      <c r="D19" s="5">
        <f>W32+W33</f>
        <v>0</v>
      </c>
      <c r="E19" s="5">
        <f>W32+W33</f>
        <v>0</v>
      </c>
      <c r="F19" s="5">
        <f>S32+S33</f>
        <v>-5</v>
      </c>
      <c r="G19" s="5">
        <f>R32+R33</f>
        <v>0</v>
      </c>
      <c r="H19" s="5">
        <f>R32+R33</f>
        <v>0</v>
      </c>
      <c r="I19" s="5">
        <f>V32+V33</f>
        <v>0</v>
      </c>
      <c r="J19" s="5">
        <f>T32+T33</f>
        <v>0</v>
      </c>
      <c r="K19" s="5">
        <f>T32+T33</f>
        <v>0</v>
      </c>
      <c r="L19" s="5">
        <f>X32+X33</f>
        <v>-3</v>
      </c>
      <c r="M19" s="5">
        <f>Y32+Y33</f>
        <v>0</v>
      </c>
      <c r="N19" s="5">
        <f>Y32+Y33</f>
        <v>0</v>
      </c>
      <c r="O19" t="s">
        <v>134</v>
      </c>
      <c r="R19">
        <v>9</v>
      </c>
      <c r="S19" t="s">
        <v>130</v>
      </c>
      <c r="T19">
        <v>9</v>
      </c>
      <c r="U19" t="s">
        <v>142</v>
      </c>
      <c r="V19">
        <v>9</v>
      </c>
      <c r="W19">
        <f>IF(OR($R$3=4,$R$3=5),3,IF(OR($R$3=7,$R$3=8),-2,IF($R$3=1,1,IF($R$3=2,-3,2))))</f>
        <v>-3</v>
      </c>
      <c r="X19">
        <f>IF(OR($R$3=5,$R$3=6),3,IF(OR($R$3=8,$R$3=9),-2,IF($R$3=3,-3,IF($R$3=2,1,2))))</f>
        <v>1</v>
      </c>
      <c r="Y19">
        <f>IF(OR($R$3=6,$R$3=7),3,IF(OR($R$3=1,$R$3=9),-2,IF($R$3=4,-3,IF($R$3=3,1,2))))</f>
        <v>2</v>
      </c>
      <c r="Z19">
        <f>IF(OR($R$3=7,$R$3=8),3,IF(OR($R$3=2,$R$3=5),-2,IF($R$3=5,-3,IF($R$3=4,1,2))))</f>
        <v>-2</v>
      </c>
      <c r="AA19">
        <f>IF(OR($R$3=8,$R$3=9),3,IF(OR($R$3=2,$R$3=3),-2,IF($R$3=6,-3,IF($R$3=5,1,2))))</f>
        <v>-2</v>
      </c>
      <c r="AB19">
        <f>IF(OR($R$3=1,$R$3=9),3,IF(OR($R$3=3,$R$3=4),-2,IF($R$3=7,-3,IF($R$3=6,1,2))))</f>
        <v>2</v>
      </c>
      <c r="AC19">
        <f>IF(OR($R$3=1,$R$3=2),3,IF(OR($R$3=4,$R$3=5),-2,IF($R$3=8,-3,IF($R$3=7,1,2))))</f>
        <v>3</v>
      </c>
      <c r="AD19">
        <f>IF(OR($R$3=2,$R$3=3),3,IF(OR($R$3=5,$R$3=6),-2,IF($R$3=9,-3,IF($R$3=8,1,2))))</f>
        <v>3</v>
      </c>
      <c r="AE19" t="s">
        <v>95</v>
      </c>
      <c r="AF19">
        <v>9</v>
      </c>
      <c r="AG19">
        <f>IF(OR($R$4=4,$R$4=5),3,IF(OR($R$4=7,$R$4=8),-2,IF($R$4=1,1,IF($R$4=2,-3,2))))</f>
        <v>3</v>
      </c>
      <c r="AH19">
        <f>IF(OR($R$4=5,$R$4=6),3,IF(OR($R$4=8,$R$4=9),-2,IF($R$4=3,-3,IF($R$4=2,1,2))))</f>
        <v>2</v>
      </c>
      <c r="AI19">
        <f>IF(OR($R$4=6,$R$4=7),3,IF(OR($R$4=1,$R$4=9),-2,IF($R$4=4,-3,IF($R$4=3,1,2))))</f>
        <v>-3</v>
      </c>
      <c r="AJ19">
        <f>IF(OR($R$4=7,$R$4=8),3,IF(OR($R$4=2,$R$4=5),-2,IF($R$4=5,-3,IF($R$4=4,1,2))))</f>
        <v>1</v>
      </c>
      <c r="AK19">
        <f>IF(OR($R$4=8,$R$4=9),3,IF(OR($R$4=2,$R$4=3),-2,IF($R$4=6,-3,IF($R$4=5,1,2))))</f>
        <v>2</v>
      </c>
      <c r="AL19">
        <f>IF(OR($R$4=1,$R$4=9),3,IF(OR($R$4=3,$R$4=4),-2,IF($R$4=7,-3,IF($R$4=6,1,2))))</f>
        <v>-2</v>
      </c>
      <c r="AM19">
        <f>IF(OR($R$4=1,$R$4=2),3,IF(OR($R$4=4,$R$4=5),-2,IF($R$4=8,-3,IF($R$4=7,1,2))))</f>
        <v>-2</v>
      </c>
      <c r="AN19">
        <f>IF(OR($R$4=2,$R$4=3),3,IF(OR($R$4=5,$R$4=6),-2,IF($R$4=9,-3,IF($R$4=8,1,2))))</f>
        <v>2</v>
      </c>
    </row>
    <row r="20" spans="2:40" x14ac:dyDescent="0.15">
      <c r="B20" s="10"/>
      <c r="C20" s="132">
        <f>VLOOKUP(CONCATENATE($R$7,$R$4),$Q$39:$Y$119,2)</f>
        <v>-2</v>
      </c>
      <c r="D20" s="132">
        <f>VLOOKUP(CONCATENATE($R$7,$R$4),$Q$39:$Y$119,3)</f>
        <v>2</v>
      </c>
      <c r="E20" s="132">
        <f>VLOOKUP(CONCATENATE($R$7,$R$4),$Q$39:$Y$119,3)</f>
        <v>2</v>
      </c>
      <c r="F20" s="132">
        <f>VLOOKUP(CONCATENATE($R$7,$R$4),$Q$39:$Y$119,4)</f>
        <v>1</v>
      </c>
      <c r="G20" s="132">
        <f>VLOOKUP(CONCATENATE($R$7,$R$4),$Q$39:$Y$119,5)</f>
        <v>-2</v>
      </c>
      <c r="H20" s="132">
        <f>VLOOKUP(CONCATENATE($R$7,$R$4),$Q$39:$Y$119,5)</f>
        <v>-2</v>
      </c>
      <c r="I20" s="132">
        <f>VLOOKUP(CONCATENATE($R$7,$R$4),$Q$39:$Y$119,6)</f>
        <v>3</v>
      </c>
      <c r="J20" s="132">
        <f>VLOOKUP(CONCATENATE($R$7,$R$4),$Q$39:$Y$119,7)</f>
        <v>1</v>
      </c>
      <c r="K20" s="132">
        <f>VLOOKUP(CONCATENATE($R$7,$R$4),$Q$39:$Y$119,7)</f>
        <v>1</v>
      </c>
      <c r="L20" s="132">
        <f>VLOOKUP(CONCATENATE($R$7,$R$4),$Q$39:$Y$119,8)</f>
        <v>-2</v>
      </c>
      <c r="M20" s="132">
        <f>VLOOKUP(CONCATENATE($R$7,$R$4),$Q$39:$Y$119,9)</f>
        <v>-3</v>
      </c>
      <c r="N20" s="132">
        <f>VLOOKUP(CONCATENATE($R$7,$R$4),$Q$39:$Y$119,9)</f>
        <v>-3</v>
      </c>
      <c r="O20" t="s">
        <v>135</v>
      </c>
      <c r="T20">
        <v>10</v>
      </c>
      <c r="U20" t="s">
        <v>143</v>
      </c>
    </row>
    <row r="21" spans="2:40" x14ac:dyDescent="0.15">
      <c r="B21" s="10"/>
      <c r="C21" s="5">
        <f>C13+C14+C19+C20</f>
        <v>-2</v>
      </c>
      <c r="D21" s="5">
        <f t="shared" ref="D21:N21" si="1">D13+D14+D19+D20</f>
        <v>6</v>
      </c>
      <c r="E21" s="5">
        <f t="shared" si="1"/>
        <v>2</v>
      </c>
      <c r="F21" s="5">
        <f t="shared" si="1"/>
        <v>-4</v>
      </c>
      <c r="G21" s="5">
        <f t="shared" si="1"/>
        <v>-10</v>
      </c>
      <c r="H21" s="5">
        <f t="shared" si="1"/>
        <v>-4</v>
      </c>
      <c r="I21" s="5">
        <f t="shared" si="1"/>
        <v>3</v>
      </c>
      <c r="J21" s="5">
        <f t="shared" si="1"/>
        <v>-5</v>
      </c>
      <c r="K21" s="5">
        <f t="shared" si="1"/>
        <v>1</v>
      </c>
      <c r="L21" s="5">
        <f t="shared" si="1"/>
        <v>1</v>
      </c>
      <c r="M21" s="5">
        <f t="shared" si="1"/>
        <v>-13</v>
      </c>
      <c r="N21" s="5">
        <f t="shared" si="1"/>
        <v>-13</v>
      </c>
      <c r="O21" t="s">
        <v>136</v>
      </c>
      <c r="T21">
        <v>11</v>
      </c>
      <c r="U21" t="s">
        <v>144</v>
      </c>
    </row>
    <row r="22" spans="2:40" x14ac:dyDescent="0.15">
      <c r="B22" s="10"/>
      <c r="C22" s="3"/>
      <c r="D22" s="3"/>
      <c r="E22" s="3"/>
      <c r="F22" s="3"/>
      <c r="G22" s="3"/>
      <c r="H22" s="3"/>
      <c r="I22" s="3"/>
      <c r="J22" s="3"/>
      <c r="K22" s="3"/>
      <c r="L22" s="3"/>
      <c r="M22" s="3"/>
      <c r="N22" s="3"/>
      <c r="T22">
        <v>12</v>
      </c>
      <c r="U22" t="s">
        <v>140</v>
      </c>
    </row>
    <row r="23" spans="2:40" x14ac:dyDescent="0.15">
      <c r="B23" s="10"/>
      <c r="R23" t="s">
        <v>98</v>
      </c>
      <c r="S23" t="s">
        <v>99</v>
      </c>
      <c r="T23" t="s">
        <v>100</v>
      </c>
      <c r="U23" t="s">
        <v>101</v>
      </c>
      <c r="V23" t="s">
        <v>102</v>
      </c>
      <c r="W23" t="s">
        <v>103</v>
      </c>
      <c r="X23" t="s">
        <v>104</v>
      </c>
      <c r="Y23" t="s">
        <v>105</v>
      </c>
      <c r="AB23" t="s">
        <v>98</v>
      </c>
      <c r="AC23" t="s">
        <v>99</v>
      </c>
      <c r="AD23" t="s">
        <v>100</v>
      </c>
      <c r="AE23" t="s">
        <v>101</v>
      </c>
      <c r="AF23" t="s">
        <v>102</v>
      </c>
      <c r="AG23" t="s">
        <v>103</v>
      </c>
      <c r="AH23" t="s">
        <v>104</v>
      </c>
      <c r="AI23" t="s">
        <v>105</v>
      </c>
    </row>
    <row r="24" spans="2:40" x14ac:dyDescent="0.15">
      <c r="C24" t="str">
        <f>AE25</f>
        <v>二黒土星</v>
      </c>
      <c r="D24" t="str">
        <f>AG25</f>
        <v>九紫火星</v>
      </c>
      <c r="E24" t="str">
        <f>AG25</f>
        <v>九紫火星</v>
      </c>
      <c r="F24" t="str">
        <f>AC25</f>
        <v>四緑木星</v>
      </c>
      <c r="G24" t="str">
        <f>AB25</f>
        <v>五黄土星</v>
      </c>
      <c r="H24" t="str">
        <f>AB25</f>
        <v>五黄土星</v>
      </c>
      <c r="I24" t="str">
        <f>AF25</f>
        <v>一白水星</v>
      </c>
      <c r="J24" t="str">
        <f>AD25</f>
        <v>三碧木星</v>
      </c>
      <c r="K24" t="str">
        <f>AD25</f>
        <v>三碧木星</v>
      </c>
      <c r="L24" t="str">
        <f>AH25</f>
        <v>八白土星</v>
      </c>
      <c r="M24" t="str">
        <f>AI25</f>
        <v>七赤金星</v>
      </c>
      <c r="N24" t="str">
        <f>AI25</f>
        <v>七赤金星</v>
      </c>
      <c r="O24" t="s">
        <v>132</v>
      </c>
      <c r="Q24">
        <f>R7</f>
        <v>6</v>
      </c>
      <c r="R24">
        <f>IF(Q24&lt;=1,9,Q24-1)</f>
        <v>5</v>
      </c>
      <c r="S24">
        <f t="shared" ref="S24:Y24" si="2">IF(R24&lt;=1,9,R24-1)</f>
        <v>4</v>
      </c>
      <c r="T24">
        <f t="shared" si="2"/>
        <v>3</v>
      </c>
      <c r="U24">
        <f t="shared" si="2"/>
        <v>2</v>
      </c>
      <c r="V24">
        <f t="shared" si="2"/>
        <v>1</v>
      </c>
      <c r="W24">
        <f t="shared" si="2"/>
        <v>9</v>
      </c>
      <c r="X24">
        <f t="shared" si="2"/>
        <v>8</v>
      </c>
      <c r="Y24">
        <f t="shared" si="2"/>
        <v>7</v>
      </c>
      <c r="AA24">
        <f>T7</f>
        <v>6</v>
      </c>
      <c r="AB24">
        <f>IF(AA24&lt;=1,9,AA24-1)</f>
        <v>5</v>
      </c>
      <c r="AC24">
        <f t="shared" ref="AC24:AI24" si="3">IF(AB24&lt;=1,9,AB24-1)</f>
        <v>4</v>
      </c>
      <c r="AD24">
        <f t="shared" si="3"/>
        <v>3</v>
      </c>
      <c r="AE24">
        <f t="shared" si="3"/>
        <v>2</v>
      </c>
      <c r="AF24">
        <f t="shared" si="3"/>
        <v>1</v>
      </c>
      <c r="AG24">
        <f t="shared" si="3"/>
        <v>9</v>
      </c>
      <c r="AH24">
        <f t="shared" si="3"/>
        <v>8</v>
      </c>
      <c r="AI24">
        <f t="shared" si="3"/>
        <v>7</v>
      </c>
    </row>
    <row r="25" spans="2:40" x14ac:dyDescent="0.15">
      <c r="C25">
        <f>IF($T$7=1,AG2,IF($T$7=9,AG3,0))</f>
        <v>0</v>
      </c>
      <c r="D25" s="5">
        <f>IF($T$7=8,AG2,IF($T$7=2,AG3,0))</f>
        <v>0</v>
      </c>
      <c r="E25" s="5">
        <f>IF($T$7=8,AG2,IF($T$7=2,AG3,0))</f>
        <v>0</v>
      </c>
      <c r="F25" s="5">
        <f>IF($T$7=3,AG2,IF($T$7=7,AG3,0))</f>
        <v>0</v>
      </c>
      <c r="G25" s="5">
        <f>IF($T$7=4,AG2,IF($T$7=6,AG3,0))</f>
        <v>-8</v>
      </c>
      <c r="H25" s="5">
        <f>IF($T$7=4,AG2,IF($T$7=6,AG3,0))</f>
        <v>-8</v>
      </c>
      <c r="I25">
        <f>IF($T$7=9,AG2,IF($T$7=1,AG3,0))</f>
        <v>0</v>
      </c>
      <c r="J25" s="5">
        <f>IF($T$7=2,AG2,IF($T$7=8,AG3,0))</f>
        <v>0</v>
      </c>
      <c r="K25" s="5">
        <f>IF($T$7=2,AG2,IF($T$7=8,AG3,0))</f>
        <v>0</v>
      </c>
      <c r="L25" s="5">
        <f>IF($T$7=7,AG2,IF($T$7=3,AG3,0))</f>
        <v>0</v>
      </c>
      <c r="M25" s="5">
        <f>IF($T$7=6,AG2,IF($T$7=4,AG3,0))</f>
        <v>-10</v>
      </c>
      <c r="N25" s="5">
        <f>IF($T$7=6,AG2,IF($T$7=4,AG3,0))</f>
        <v>-10</v>
      </c>
      <c r="O25" s="5" t="s">
        <v>97</v>
      </c>
      <c r="Q25" t="s">
        <v>137</v>
      </c>
      <c r="R25" t="str">
        <f>VLOOKUP(R24,$R$11:$S$19,2)</f>
        <v>五黄土星</v>
      </c>
      <c r="S25" t="str">
        <f t="shared" ref="S25:Y25" si="4">VLOOKUP(S24,$R$11:$S$19,2)</f>
        <v>四緑木星</v>
      </c>
      <c r="T25" t="str">
        <f t="shared" si="4"/>
        <v>三碧木星</v>
      </c>
      <c r="U25" t="str">
        <f t="shared" si="4"/>
        <v>二黒土星</v>
      </c>
      <c r="V25" t="str">
        <f t="shared" si="4"/>
        <v>一白水星</v>
      </c>
      <c r="W25" t="str">
        <f t="shared" si="4"/>
        <v>九紫火星</v>
      </c>
      <c r="X25" t="str">
        <f t="shared" si="4"/>
        <v>八白土星</v>
      </c>
      <c r="Y25" t="str">
        <f t="shared" si="4"/>
        <v>七赤金星</v>
      </c>
      <c r="AA25" t="s">
        <v>137</v>
      </c>
      <c r="AB25" t="str">
        <f t="shared" ref="AB25:AI25" si="5">VLOOKUP(AB24,$R$11:$S$19,2)</f>
        <v>五黄土星</v>
      </c>
      <c r="AC25" t="str">
        <f t="shared" si="5"/>
        <v>四緑木星</v>
      </c>
      <c r="AD25" t="str">
        <f t="shared" si="5"/>
        <v>三碧木星</v>
      </c>
      <c r="AE25" t="str">
        <f t="shared" si="5"/>
        <v>二黒土星</v>
      </c>
      <c r="AF25" t="str">
        <f t="shared" si="5"/>
        <v>一白水星</v>
      </c>
      <c r="AG25" t="str">
        <f t="shared" si="5"/>
        <v>九紫火星</v>
      </c>
      <c r="AH25" t="str">
        <f t="shared" si="5"/>
        <v>八白土星</v>
      </c>
      <c r="AI25" t="str">
        <f t="shared" si="5"/>
        <v>七赤金星</v>
      </c>
    </row>
    <row r="26" spans="2:40" x14ac:dyDescent="0.15">
      <c r="C26" s="5">
        <f>IF($U$7=7,AG5,IF(OR($U$7=5,$U$7=9),AG9,IF($U$7=1,AG8,0)))</f>
        <v>0</v>
      </c>
      <c r="D26" s="5">
        <f>IF($U$7=8,AG5,IF(OR($U$7=6,$U$7=10),AG9,IF($U$7=2,AG8,0)))</f>
        <v>0</v>
      </c>
      <c r="E26" s="5">
        <f>IF($U$7=9,AG5,IF(OR($U$7=7,$U$7=11),AG9,IF($U$7=3,AG8,0)))</f>
        <v>6</v>
      </c>
      <c r="F26" s="5">
        <f>IF($U$7=10,AG5,IF(OR($U$7=8,$U$7=12),AG9,IF($U$7=4,AG8,0)))</f>
        <v>0</v>
      </c>
      <c r="G26" s="5">
        <f>IF($U$7=11,AG5,IF(OR($U$7=1,$U$7=9),AG9,IF($U$7=5,AG8,0)))</f>
        <v>-6</v>
      </c>
      <c r="H26" s="5">
        <f>IF($U$7=12,AG5,IF(OR($U$7=2,$U$7=10),AG9,IF($U$7=6,AG8,0)))</f>
        <v>0</v>
      </c>
      <c r="I26" s="5">
        <f>IF($U$7=1,AG5,IF(OR($U$7=3,$U$7=11),AG9,IF($U$7=7,AG8,0)))</f>
        <v>6</v>
      </c>
      <c r="J26" s="5">
        <f>IF($U$7=2,AG5,IF(OR($U$7=4,$U$7=12),AG9,IF($U$7=8,AG8,0)))</f>
        <v>0</v>
      </c>
      <c r="K26" s="5">
        <f>IF($U$7=3,AG5,IF(OR($U$7=1,$U$7=5),AG9,IF($U$7=9,AG8,0)))</f>
        <v>0</v>
      </c>
      <c r="L26" s="5">
        <f>IF($U$7=4,AG5,IF(OR($U$7=2,$U$7=6),AG9,IF($U$7=10,AG8,0)))</f>
        <v>0</v>
      </c>
      <c r="M26" s="5">
        <f>IF($U$7=5,AG5,IF(OR($U$7=3,$U$7=7),AG9,IF($U$7=11,AG8,0)))</f>
        <v>4</v>
      </c>
      <c r="N26" s="5">
        <f>IF($U$7=6,AG5,IF(OR($U$7=4,$U$7=8),AG9,IF($U$7=12,AG8,0)))</f>
        <v>0</v>
      </c>
      <c r="O26" t="s">
        <v>133</v>
      </c>
    </row>
    <row r="27" spans="2:40" x14ac:dyDescent="0.15">
      <c r="C27">
        <f>AE29</f>
        <v>-5</v>
      </c>
      <c r="D27">
        <f>AG29</f>
        <v>0</v>
      </c>
      <c r="E27">
        <f>AG29</f>
        <v>0</v>
      </c>
      <c r="F27">
        <f>AC29</f>
        <v>0</v>
      </c>
      <c r="G27">
        <f>AB29</f>
        <v>0</v>
      </c>
      <c r="H27">
        <f>AB29</f>
        <v>0</v>
      </c>
      <c r="I27">
        <f>AF29</f>
        <v>-3</v>
      </c>
      <c r="J27">
        <f>AD29</f>
        <v>0</v>
      </c>
      <c r="K27">
        <f>AD29</f>
        <v>0</v>
      </c>
      <c r="L27">
        <f>AH29</f>
        <v>0</v>
      </c>
      <c r="M27">
        <f>AI29</f>
        <v>0</v>
      </c>
      <c r="N27">
        <f>AI29</f>
        <v>0</v>
      </c>
      <c r="O27" t="s">
        <v>134</v>
      </c>
      <c r="Q27" t="s">
        <v>183</v>
      </c>
      <c r="R27" s="5">
        <f>IF(R24=R3,AF6,0)</f>
        <v>0</v>
      </c>
      <c r="S27">
        <f>IF(S24=R3,AF6,0)</f>
        <v>0</v>
      </c>
      <c r="T27">
        <f>IF(T24=R3,AF6,0)</f>
        <v>0</v>
      </c>
      <c r="U27">
        <f>IF(U24=R3,AF6,0)</f>
        <v>-5</v>
      </c>
      <c r="V27">
        <f>IF(V24=R3,AF6,0)</f>
        <v>0</v>
      </c>
      <c r="W27">
        <f>IF(W24=R3,AF6,0)</f>
        <v>0</v>
      </c>
      <c r="X27">
        <f>IF(X24=R3,AF6,0)</f>
        <v>0</v>
      </c>
      <c r="Y27">
        <f>IF(Y24=R3,AF6,0)</f>
        <v>0</v>
      </c>
      <c r="AA27" t="s">
        <v>183</v>
      </c>
      <c r="AB27" s="5">
        <f>IF(AB24=$R$3,AG6,0)</f>
        <v>0</v>
      </c>
      <c r="AC27" s="5">
        <f>IF(AC24=$R$3,AG6,0)</f>
        <v>0</v>
      </c>
      <c r="AD27" s="5">
        <f>IF(AD24=$R$3,AG6,0)</f>
        <v>0</v>
      </c>
      <c r="AE27" s="5">
        <f>IF(AE24=$R$3,AG6,0)</f>
        <v>-5</v>
      </c>
      <c r="AF27" s="5">
        <f>IF(AF24=$R$3,AG6,0)</f>
        <v>0</v>
      </c>
      <c r="AG27" s="5">
        <f>IF(AG24=$R$3,AG6,0)</f>
        <v>0</v>
      </c>
      <c r="AH27" s="5">
        <f>IF(AH24=$R$3,AG6,0)</f>
        <v>0</v>
      </c>
      <c r="AI27" s="5">
        <f>IF(AI24=$R$3,AG6,0)</f>
        <v>0</v>
      </c>
    </row>
    <row r="28" spans="2:40" x14ac:dyDescent="0.15">
      <c r="C28" s="131">
        <f>VLOOKUP(CONCATENATE($T$7,$R$3),$Q$39:$Y$119,2)</f>
        <v>1</v>
      </c>
      <c r="D28" s="131">
        <f>VLOOKUP(CONCATENATE($T$7,$R$3),$Q$39:$Y$119,3)</f>
        <v>3</v>
      </c>
      <c r="E28" s="131">
        <f>VLOOKUP(CONCATENATE($T$7,$R$3),$Q$39:$Y$119,3)</f>
        <v>3</v>
      </c>
      <c r="F28" s="131">
        <f>VLOOKUP(CONCATENATE($T$7,$R$3),$Q$39:$Y$119,4)</f>
        <v>-3</v>
      </c>
      <c r="G28" s="131">
        <f>VLOOKUP(CONCATENATE($T$7,$R$3),$Q$39:$Y$119,5)</f>
        <v>1</v>
      </c>
      <c r="H28" s="131">
        <f>VLOOKUP(CONCATENATE($T$7,$R$3),$Q$39:$Y$119,5)</f>
        <v>1</v>
      </c>
      <c r="I28" s="131">
        <f>VLOOKUP(CONCATENATE($T$7,$R$3),$Q$39:$Y$119,6)</f>
        <v>-2</v>
      </c>
      <c r="J28" s="131">
        <f>VLOOKUP(CONCATENATE($T$7,$R$3),$Q$39:$Y$119,7)</f>
        <v>-3</v>
      </c>
      <c r="K28" s="131">
        <f>VLOOKUP(CONCATENATE($T$7,$R$3),$Q$39:$Y$119,7)</f>
        <v>-3</v>
      </c>
      <c r="L28" s="131">
        <f>VLOOKUP(CONCATENATE($T$7,$R$3),$Q$39:$Y$119,8)</f>
        <v>1</v>
      </c>
      <c r="M28" s="131">
        <f>VLOOKUP(CONCATENATE($T$7,$R$3),$Q$39:$Y$119,9)</f>
        <v>2</v>
      </c>
      <c r="N28" s="131">
        <f>VLOOKUP(CONCATENATE($T$7,$R$3),$Q$39:$Y$119,9)</f>
        <v>2</v>
      </c>
      <c r="O28" t="s">
        <v>135</v>
      </c>
      <c r="Q28" t="s">
        <v>138</v>
      </c>
      <c r="R28">
        <f>IF(Y27&lt;0,AF7,0)</f>
        <v>0</v>
      </c>
      <c r="S28">
        <f>IF(X27&lt;0,AF7,0)</f>
        <v>0</v>
      </c>
      <c r="T28">
        <f>IF(W27&lt;0,AF7,0)</f>
        <v>0</v>
      </c>
      <c r="U28">
        <f>IF(V27&lt;0,AF7,0)</f>
        <v>0</v>
      </c>
      <c r="V28">
        <f>IF(U27&lt;0,AF7,0)</f>
        <v>-3</v>
      </c>
      <c r="W28">
        <f>IF(T27&lt;0,AF7,0)</f>
        <v>0</v>
      </c>
      <c r="X28">
        <f>IF(S27&lt;0,AF7,0)</f>
        <v>0</v>
      </c>
      <c r="Y28">
        <f>IF(R27&lt;0,AF7,0)</f>
        <v>0</v>
      </c>
      <c r="AA28" t="s">
        <v>138</v>
      </c>
      <c r="AB28">
        <f>IF(AI27&lt;0,AG7,0)</f>
        <v>0</v>
      </c>
      <c r="AC28">
        <f>IF(AH27&lt;0,AG7,0)</f>
        <v>0</v>
      </c>
      <c r="AD28">
        <f>IF(AG27&lt;0,AG7,0)</f>
        <v>0</v>
      </c>
      <c r="AE28">
        <f>IF(AF27&lt;0,AG7,0)</f>
        <v>0</v>
      </c>
      <c r="AF28">
        <f>IF(AE27&lt;0,AG7,0)</f>
        <v>-3</v>
      </c>
      <c r="AG28">
        <f>IF(AD27&lt;0,AG7,0)</f>
        <v>0</v>
      </c>
      <c r="AH28">
        <f>IF(AC27&lt;0,AG7,0)</f>
        <v>0</v>
      </c>
      <c r="AI28">
        <f>IF(AB27&lt;0,AG7,0)</f>
        <v>0</v>
      </c>
    </row>
    <row r="29" spans="2:40" x14ac:dyDescent="0.15">
      <c r="C29">
        <f>SUM(C25:C28)</f>
        <v>-4</v>
      </c>
      <c r="D29">
        <f t="shared" ref="D29:N29" si="6">SUM(D25:D28)</f>
        <v>3</v>
      </c>
      <c r="E29">
        <f t="shared" si="6"/>
        <v>9</v>
      </c>
      <c r="F29">
        <f t="shared" si="6"/>
        <v>-3</v>
      </c>
      <c r="G29">
        <f t="shared" si="6"/>
        <v>-13</v>
      </c>
      <c r="H29">
        <f t="shared" si="6"/>
        <v>-7</v>
      </c>
      <c r="I29">
        <f t="shared" si="6"/>
        <v>1</v>
      </c>
      <c r="J29">
        <f t="shared" si="6"/>
        <v>-3</v>
      </c>
      <c r="K29">
        <f t="shared" si="6"/>
        <v>-3</v>
      </c>
      <c r="L29">
        <f t="shared" si="6"/>
        <v>1</v>
      </c>
      <c r="M29">
        <f t="shared" si="6"/>
        <v>-4</v>
      </c>
      <c r="N29">
        <f t="shared" si="6"/>
        <v>-8</v>
      </c>
      <c r="O29" t="s">
        <v>136</v>
      </c>
      <c r="Q29" t="s">
        <v>106</v>
      </c>
      <c r="R29">
        <f>SUM(R27:R28)</f>
        <v>0</v>
      </c>
      <c r="S29">
        <f t="shared" ref="S29:Y29" si="7">SUM(S27:S28)</f>
        <v>0</v>
      </c>
      <c r="T29">
        <f t="shared" si="7"/>
        <v>0</v>
      </c>
      <c r="U29">
        <f t="shared" si="7"/>
        <v>-5</v>
      </c>
      <c r="V29">
        <f t="shared" si="7"/>
        <v>-3</v>
      </c>
      <c r="W29">
        <f t="shared" si="7"/>
        <v>0</v>
      </c>
      <c r="X29">
        <f t="shared" si="7"/>
        <v>0</v>
      </c>
      <c r="Y29">
        <f t="shared" si="7"/>
        <v>0</v>
      </c>
      <c r="AA29" t="s">
        <v>106</v>
      </c>
      <c r="AB29">
        <f t="shared" ref="AB29:AI29" si="8">SUM(AB27:AB28)</f>
        <v>0</v>
      </c>
      <c r="AC29">
        <f t="shared" si="8"/>
        <v>0</v>
      </c>
      <c r="AD29">
        <f t="shared" si="8"/>
        <v>0</v>
      </c>
      <c r="AE29">
        <f t="shared" si="8"/>
        <v>-5</v>
      </c>
      <c r="AF29">
        <f t="shared" si="8"/>
        <v>-3</v>
      </c>
      <c r="AG29">
        <f t="shared" si="8"/>
        <v>0</v>
      </c>
      <c r="AH29">
        <f t="shared" si="8"/>
        <v>0</v>
      </c>
      <c r="AI29">
        <f t="shared" si="8"/>
        <v>0</v>
      </c>
    </row>
    <row r="30" spans="2:40" x14ac:dyDescent="0.15">
      <c r="C30" s="3" t="s">
        <v>152</v>
      </c>
      <c r="D30" s="5" t="s">
        <v>163</v>
      </c>
      <c r="E30" s="5" t="s">
        <v>164</v>
      </c>
      <c r="F30" s="3" t="s">
        <v>151</v>
      </c>
      <c r="G30" s="5" t="s">
        <v>165</v>
      </c>
      <c r="H30" s="5" t="s">
        <v>166</v>
      </c>
      <c r="I30" s="3" t="s">
        <v>153</v>
      </c>
      <c r="J30" s="5" t="s">
        <v>167</v>
      </c>
      <c r="K30" s="5" t="s">
        <v>168</v>
      </c>
      <c r="L30" s="3" t="s">
        <v>154</v>
      </c>
      <c r="M30" s="5" t="s">
        <v>169</v>
      </c>
      <c r="N30" s="5" t="s">
        <v>170</v>
      </c>
      <c r="Q30" t="s">
        <v>135</v>
      </c>
      <c r="R30">
        <f>VLOOKUP($R$7,$V$11:$AD$19,2)</f>
        <v>2</v>
      </c>
      <c r="S30">
        <f>VLOOKUP($R$7,$V$11:$AD$19,3)</f>
        <v>-3</v>
      </c>
      <c r="T30">
        <f>VLOOKUP($R$7,$V$11:$AD$19,4)</f>
        <v>3</v>
      </c>
      <c r="U30">
        <f>VLOOKUP($R$7,$V$11:$AD$19,5)</f>
        <v>1</v>
      </c>
      <c r="V30">
        <f>VLOOKUP($R$7,$V$11:$AD$19,6)</f>
        <v>1</v>
      </c>
      <c r="W30">
        <f>VLOOKUP($R$7,$V$11:$AD$19,7)</f>
        <v>3</v>
      </c>
      <c r="X30">
        <f>VLOOKUP($R$7,$V$11:$AD$19,8)</f>
        <v>-2</v>
      </c>
      <c r="Y30">
        <f>VLOOKUP($R$7,$V$11:$AD$19,9)</f>
        <v>-2</v>
      </c>
    </row>
    <row r="31" spans="2:40" x14ac:dyDescent="0.15">
      <c r="C31">
        <f>AE32+AE33</f>
        <v>0</v>
      </c>
      <c r="D31">
        <f>AG32+AG33</f>
        <v>0</v>
      </c>
      <c r="E31">
        <f>AG32+AG33</f>
        <v>0</v>
      </c>
      <c r="F31">
        <f>AC32+AC33</f>
        <v>-5</v>
      </c>
      <c r="G31">
        <f>AB32+AB33</f>
        <v>0</v>
      </c>
      <c r="H31">
        <f>AB32+AB33</f>
        <v>0</v>
      </c>
      <c r="I31">
        <f>AF32+AF33</f>
        <v>0</v>
      </c>
      <c r="J31">
        <f>AD32+AD33</f>
        <v>0</v>
      </c>
      <c r="K31">
        <f>AD32+AD33</f>
        <v>0</v>
      </c>
      <c r="L31">
        <f>AH32+AH33</f>
        <v>-3</v>
      </c>
      <c r="M31">
        <f>AI32+AI33</f>
        <v>0</v>
      </c>
      <c r="N31">
        <f>AI32+AI33</f>
        <v>0</v>
      </c>
      <c r="O31" t="s">
        <v>134</v>
      </c>
    </row>
    <row r="32" spans="2:40" x14ac:dyDescent="0.15">
      <c r="C32" s="132">
        <f>VLOOKUP(CONCATENATE($T$7,$R$4),$Q$39:$Y$119,2)</f>
        <v>-2</v>
      </c>
      <c r="D32" s="132">
        <f>VLOOKUP(CONCATENATE($T$7,$R$4),$Q$39:$Y$119,3)</f>
        <v>2</v>
      </c>
      <c r="E32" s="132">
        <f>VLOOKUP(CONCATENATE($T$7,$R$4),$Q$39:$Y$119,3)</f>
        <v>2</v>
      </c>
      <c r="F32" s="132">
        <f>VLOOKUP(CONCATENATE($T$7,$R$4),$Q$39:$Y$119,4)</f>
        <v>1</v>
      </c>
      <c r="G32" s="132">
        <f>VLOOKUP(CONCATENATE($T$7,$R$4),$Q$39:$Y$119,5)</f>
        <v>-2</v>
      </c>
      <c r="H32" s="132">
        <f>VLOOKUP(CONCATENATE($T$7,$R$4),$Q$39:$Y$119,5)</f>
        <v>-2</v>
      </c>
      <c r="I32" s="132">
        <f>VLOOKUP(CONCATENATE($T$7,$R$4),$Q$39:$Y$119,6)</f>
        <v>3</v>
      </c>
      <c r="J32" s="132">
        <f>VLOOKUP(CONCATENATE($T$7,$R$4),$Q$39:$Y$119,7)</f>
        <v>1</v>
      </c>
      <c r="K32" s="132">
        <f>VLOOKUP(CONCATENATE($T$7,$R$4),$Q$39:$Y$119,7)</f>
        <v>1</v>
      </c>
      <c r="L32" s="132">
        <f>VLOOKUP(CONCATENATE($T$7,$R$4),$Q$39:$Y$119,8)</f>
        <v>-2</v>
      </c>
      <c r="M32" s="132">
        <f>VLOOKUP(CONCATENATE($T$7,$R$4),$Q$39:$Y$119,9)</f>
        <v>-3</v>
      </c>
      <c r="N32" s="132">
        <f>VLOOKUP(CONCATENATE($T$7,$R$4),$Q$39:$Y$119,9)</f>
        <v>-3</v>
      </c>
      <c r="O32" t="s">
        <v>135</v>
      </c>
      <c r="Q32" t="s">
        <v>183</v>
      </c>
      <c r="R32" s="5">
        <f>IF(R24=$R$4,-5,0)</f>
        <v>0</v>
      </c>
      <c r="S32" s="5">
        <f t="shared" ref="S32:Y32" si="9">IF(S24=$R$4,-5,0)</f>
        <v>-5</v>
      </c>
      <c r="T32" s="5">
        <f t="shared" si="9"/>
        <v>0</v>
      </c>
      <c r="U32" s="5">
        <f t="shared" si="9"/>
        <v>0</v>
      </c>
      <c r="V32" s="5">
        <f t="shared" si="9"/>
        <v>0</v>
      </c>
      <c r="W32" s="5">
        <f t="shared" si="9"/>
        <v>0</v>
      </c>
      <c r="X32" s="5">
        <f t="shared" si="9"/>
        <v>0</v>
      </c>
      <c r="Y32" s="5">
        <f t="shared" si="9"/>
        <v>0</v>
      </c>
      <c r="AA32" t="s">
        <v>183</v>
      </c>
      <c r="AB32" s="5">
        <f>IF(AB24=$R$4,-5,0)</f>
        <v>0</v>
      </c>
      <c r="AC32" s="5">
        <f t="shared" ref="AC32:AI32" si="10">IF(AC24=$R$4,-5,0)</f>
        <v>-5</v>
      </c>
      <c r="AD32" s="5">
        <f t="shared" si="10"/>
        <v>0</v>
      </c>
      <c r="AE32" s="5">
        <f t="shared" si="10"/>
        <v>0</v>
      </c>
      <c r="AF32" s="5">
        <f t="shared" si="10"/>
        <v>0</v>
      </c>
      <c r="AG32" s="5">
        <f t="shared" si="10"/>
        <v>0</v>
      </c>
      <c r="AH32" s="5">
        <f t="shared" si="10"/>
        <v>0</v>
      </c>
      <c r="AI32" s="5">
        <f t="shared" si="10"/>
        <v>0</v>
      </c>
    </row>
    <row r="33" spans="3:36" x14ac:dyDescent="0.15">
      <c r="C33">
        <f>C25+C26+C31+C32</f>
        <v>-2</v>
      </c>
      <c r="D33">
        <f t="shared" ref="D33:N33" si="11">D25+D26+D31+D32</f>
        <v>2</v>
      </c>
      <c r="E33">
        <f t="shared" si="11"/>
        <v>8</v>
      </c>
      <c r="F33">
        <f t="shared" si="11"/>
        <v>-4</v>
      </c>
      <c r="G33">
        <f t="shared" si="11"/>
        <v>-16</v>
      </c>
      <c r="H33">
        <f t="shared" si="11"/>
        <v>-10</v>
      </c>
      <c r="I33">
        <f t="shared" si="11"/>
        <v>9</v>
      </c>
      <c r="J33">
        <f t="shared" si="11"/>
        <v>1</v>
      </c>
      <c r="K33">
        <f t="shared" si="11"/>
        <v>1</v>
      </c>
      <c r="L33">
        <f t="shared" si="11"/>
        <v>-5</v>
      </c>
      <c r="M33">
        <f t="shared" si="11"/>
        <v>-9</v>
      </c>
      <c r="N33">
        <f t="shared" si="11"/>
        <v>-13</v>
      </c>
      <c r="O33" t="s">
        <v>136</v>
      </c>
      <c r="Q33" t="s">
        <v>138</v>
      </c>
      <c r="R33">
        <f>IF(Y32&lt;0,-3,0)</f>
        <v>0</v>
      </c>
      <c r="S33">
        <f>IF(X32&lt;0,-3,0)</f>
        <v>0</v>
      </c>
      <c r="T33">
        <f>IF(W32&lt;0,-3,0)</f>
        <v>0</v>
      </c>
      <c r="U33">
        <f>IF(V32&lt;0,-3,0)</f>
        <v>0</v>
      </c>
      <c r="V33">
        <f>IF(U32&lt;0,-3,0)</f>
        <v>0</v>
      </c>
      <c r="W33">
        <f>IF(T32&lt;0,-3,0)</f>
        <v>0</v>
      </c>
      <c r="X33">
        <f>IF(S32&lt;0,-3,0)</f>
        <v>-3</v>
      </c>
      <c r="Y33">
        <f>IF(R32&lt;0,-3,0)</f>
        <v>0</v>
      </c>
      <c r="AA33" t="s">
        <v>138</v>
      </c>
      <c r="AB33">
        <f>IF(AI32&lt;0,-3,0)</f>
        <v>0</v>
      </c>
      <c r="AC33">
        <f>IF(AH32&lt;0,-3,0)</f>
        <v>0</v>
      </c>
      <c r="AD33">
        <f>IF(AG32&lt;0,-3,0)</f>
        <v>0</v>
      </c>
      <c r="AE33">
        <f>IF(AF32&lt;0,-3,0)</f>
        <v>0</v>
      </c>
      <c r="AF33">
        <f>IF(AE32&lt;0,-3,0)</f>
        <v>0</v>
      </c>
      <c r="AG33">
        <f>IF(AD32&lt;0,-3,0)</f>
        <v>0</v>
      </c>
      <c r="AH33">
        <f>IF(AC32&lt;0,-3,0)</f>
        <v>-3</v>
      </c>
      <c r="AI33">
        <f>IF(AB32&lt;0,-3,0)</f>
        <v>0</v>
      </c>
    </row>
    <row r="34" spans="3:36" x14ac:dyDescent="0.15">
      <c r="Q34" t="s">
        <v>135</v>
      </c>
      <c r="R34">
        <f>VLOOKUP($R$7,$AF$11:$AN$19,2)</f>
        <v>-2</v>
      </c>
      <c r="S34">
        <f>VLOOKUP($R$7,$AF$11:$AN$19,3)</f>
        <v>3</v>
      </c>
      <c r="T34">
        <f>VLOOKUP($R$7,$AF$11:$AN$19,4)</f>
        <v>2</v>
      </c>
      <c r="U34">
        <f>VLOOKUP($R$7,$AF$11:$AN$19,5)</f>
        <v>-3</v>
      </c>
      <c r="V34">
        <f>VLOOKUP($R$7,$AF$11:$AN$19,6)</f>
        <v>3</v>
      </c>
      <c r="W34">
        <f>VLOOKUP($R$7,$AF$11:$AN$19,7)</f>
        <v>1</v>
      </c>
      <c r="X34">
        <f>VLOOKUP($R$7,$AF$11:$AN$19,8)</f>
        <v>1</v>
      </c>
      <c r="Y34">
        <f>VLOOKUP($R$7,$AF$11:$AN$19,9)</f>
        <v>3</v>
      </c>
    </row>
    <row r="35" spans="3:36" x14ac:dyDescent="0.15">
      <c r="C35" t="s">
        <v>231</v>
      </c>
      <c r="D35">
        <f>吉凶判定表!I22</f>
        <v>8</v>
      </c>
    </row>
    <row r="37" spans="3:36" x14ac:dyDescent="0.15">
      <c r="C37">
        <f>(C17*(1-$D$35*0.1))+(C29*($D$35*0.1))</f>
        <v>-4</v>
      </c>
      <c r="D37">
        <f t="shared" ref="D37:N37" si="12">(D17*(1-$D$35*0.1))+(D29*($D$35*0.1))</f>
        <v>3.8</v>
      </c>
      <c r="E37">
        <f t="shared" si="12"/>
        <v>7.8</v>
      </c>
      <c r="F37">
        <f t="shared" si="12"/>
        <v>-3</v>
      </c>
      <c r="G37">
        <f t="shared" si="12"/>
        <v>-11.8</v>
      </c>
      <c r="H37">
        <f t="shared" si="12"/>
        <v>-5.8000000000000007</v>
      </c>
      <c r="I37">
        <f t="shared" si="12"/>
        <v>-0.19999999999999973</v>
      </c>
      <c r="J37">
        <f t="shared" si="12"/>
        <v>-4.2</v>
      </c>
      <c r="K37">
        <f t="shared" si="12"/>
        <v>-3</v>
      </c>
      <c r="L37">
        <f t="shared" si="12"/>
        <v>2.1999999999999997</v>
      </c>
      <c r="M37">
        <f t="shared" si="12"/>
        <v>-4.8</v>
      </c>
      <c r="N37">
        <f t="shared" si="12"/>
        <v>-8</v>
      </c>
      <c r="O37" t="s">
        <v>136</v>
      </c>
      <c r="R37" t="s">
        <v>184</v>
      </c>
      <c r="S37" t="s">
        <v>185</v>
      </c>
      <c r="T37" t="s">
        <v>186</v>
      </c>
      <c r="U37" t="s">
        <v>187</v>
      </c>
      <c r="V37" t="s">
        <v>188</v>
      </c>
      <c r="W37" t="s">
        <v>189</v>
      </c>
      <c r="X37" t="s">
        <v>190</v>
      </c>
      <c r="Y37" t="s">
        <v>191</v>
      </c>
    </row>
    <row r="38" spans="3:36" x14ac:dyDescent="0.15">
      <c r="C38">
        <f>(C21*(1-$D$35*0.1))+(C33*($D$35*0.1))</f>
        <v>-2</v>
      </c>
      <c r="D38">
        <f t="shared" ref="D38:N38" si="13">(D21*(1-$D$35*0.1))+(D33*($D$35*0.1))</f>
        <v>2.8</v>
      </c>
      <c r="E38">
        <f t="shared" si="13"/>
        <v>6.8000000000000007</v>
      </c>
      <c r="F38">
        <f t="shared" si="13"/>
        <v>-4</v>
      </c>
      <c r="G38">
        <f t="shared" si="13"/>
        <v>-14.8</v>
      </c>
      <c r="H38">
        <f t="shared" si="13"/>
        <v>-8.8000000000000007</v>
      </c>
      <c r="I38">
        <f t="shared" si="13"/>
        <v>7.8</v>
      </c>
      <c r="J38">
        <f t="shared" si="13"/>
        <v>-0.19999999999999973</v>
      </c>
      <c r="K38">
        <f t="shared" si="13"/>
        <v>1</v>
      </c>
      <c r="L38">
        <f t="shared" si="13"/>
        <v>-3.8</v>
      </c>
      <c r="M38">
        <f t="shared" si="13"/>
        <v>-9.8000000000000007</v>
      </c>
      <c r="N38">
        <f t="shared" si="13"/>
        <v>-13</v>
      </c>
      <c r="O38" t="s">
        <v>136</v>
      </c>
      <c r="R38" t="s">
        <v>86</v>
      </c>
      <c r="S38" t="s">
        <v>88</v>
      </c>
      <c r="T38" t="s">
        <v>84</v>
      </c>
      <c r="U38" t="s">
        <v>83</v>
      </c>
      <c r="V38" t="s">
        <v>87</v>
      </c>
      <c r="W38" t="s">
        <v>85</v>
      </c>
      <c r="X38" t="s">
        <v>89</v>
      </c>
      <c r="Y38" t="s">
        <v>90</v>
      </c>
      <c r="AC38" s="151" t="s">
        <v>317</v>
      </c>
      <c r="AD38" s="152" t="s">
        <v>318</v>
      </c>
      <c r="AE38" s="152" t="s">
        <v>319</v>
      </c>
      <c r="AF38" s="153" t="s">
        <v>320</v>
      </c>
      <c r="AG38" s="153" t="s">
        <v>319</v>
      </c>
      <c r="AH38" s="1"/>
    </row>
    <row r="39" spans="3:36" x14ac:dyDescent="0.15">
      <c r="Q39" s="8" t="s">
        <v>1</v>
      </c>
      <c r="R39">
        <v>3</v>
      </c>
      <c r="S39">
        <v>2</v>
      </c>
      <c r="T39">
        <v>-3</v>
      </c>
      <c r="U39">
        <v>-2</v>
      </c>
      <c r="V39">
        <v>-3</v>
      </c>
      <c r="W39">
        <v>3</v>
      </c>
      <c r="X39">
        <v>2</v>
      </c>
      <c r="Y39">
        <v>-3</v>
      </c>
      <c r="Z39">
        <v>1927</v>
      </c>
      <c r="AA39">
        <v>1</v>
      </c>
      <c r="AB39">
        <v>1</v>
      </c>
      <c r="AC39" s="158">
        <v>9868</v>
      </c>
      <c r="AD39" s="161">
        <v>3</v>
      </c>
      <c r="AE39" s="161">
        <v>2</v>
      </c>
      <c r="AF39" s="161">
        <v>38</v>
      </c>
      <c r="AG39" s="161">
        <v>9</v>
      </c>
      <c r="AH39" s="1">
        <v>1</v>
      </c>
      <c r="AI39" s="145" t="s">
        <v>322</v>
      </c>
      <c r="AJ39" s="156">
        <v>1</v>
      </c>
    </row>
    <row r="40" spans="3:36" x14ac:dyDescent="0.15">
      <c r="C40" s="128">
        <v>2</v>
      </c>
      <c r="D40" s="12">
        <f>IF(C40&lt;=1,9,C40-1)</f>
        <v>1</v>
      </c>
      <c r="E40" s="12">
        <f t="shared" ref="E40:K40" si="14">IF(D40&lt;=1,9,D40-1)</f>
        <v>9</v>
      </c>
      <c r="F40" s="12">
        <f t="shared" si="14"/>
        <v>8</v>
      </c>
      <c r="G40" s="12">
        <f t="shared" si="14"/>
        <v>7</v>
      </c>
      <c r="H40" s="12">
        <f t="shared" si="14"/>
        <v>6</v>
      </c>
      <c r="I40" s="12">
        <f t="shared" si="14"/>
        <v>5</v>
      </c>
      <c r="J40" s="12">
        <f t="shared" si="14"/>
        <v>4</v>
      </c>
      <c r="K40" s="12">
        <f t="shared" si="14"/>
        <v>3</v>
      </c>
      <c r="L40" s="12" t="s">
        <v>266</v>
      </c>
      <c r="M40" s="12"/>
      <c r="N40" s="124"/>
      <c r="Q40" s="8" t="s">
        <v>2</v>
      </c>
      <c r="R40">
        <v>2</v>
      </c>
      <c r="S40">
        <v>-3</v>
      </c>
      <c r="T40">
        <v>1</v>
      </c>
      <c r="U40">
        <v>3</v>
      </c>
      <c r="V40">
        <v>1</v>
      </c>
      <c r="W40">
        <v>2</v>
      </c>
      <c r="X40">
        <v>-3</v>
      </c>
      <c r="Y40">
        <v>1</v>
      </c>
      <c r="Z40">
        <v>1928</v>
      </c>
      <c r="AA40">
        <v>2</v>
      </c>
      <c r="AB40">
        <v>2</v>
      </c>
      <c r="AC40" s="158">
        <v>9898</v>
      </c>
      <c r="AD40" s="161">
        <v>4</v>
      </c>
      <c r="AE40" s="161">
        <v>1</v>
      </c>
      <c r="AF40" s="161">
        <v>39</v>
      </c>
      <c r="AG40" s="161">
        <v>8</v>
      </c>
      <c r="AH40" s="1">
        <v>2</v>
      </c>
      <c r="AI40" s="145" t="s">
        <v>323</v>
      </c>
      <c r="AJ40" s="156">
        <v>2</v>
      </c>
    </row>
    <row r="41" spans="3:36" x14ac:dyDescent="0.15">
      <c r="C41" s="125"/>
      <c r="D41" s="15"/>
      <c r="E41" s="15"/>
      <c r="F41" s="15"/>
      <c r="G41" s="15"/>
      <c r="H41" s="15"/>
      <c r="I41" s="15"/>
      <c r="J41" s="15"/>
      <c r="K41" s="15"/>
      <c r="L41" s="15"/>
      <c r="M41" s="15"/>
      <c r="N41" s="122"/>
      <c r="Q41" s="8" t="s">
        <v>3</v>
      </c>
      <c r="R41">
        <v>-3</v>
      </c>
      <c r="S41">
        <v>1</v>
      </c>
      <c r="T41">
        <v>-2</v>
      </c>
      <c r="U41">
        <v>2</v>
      </c>
      <c r="V41">
        <v>-2</v>
      </c>
      <c r="W41">
        <v>-3</v>
      </c>
      <c r="X41">
        <v>1</v>
      </c>
      <c r="Y41">
        <v>-2</v>
      </c>
      <c r="Z41">
        <v>1929</v>
      </c>
      <c r="AA41">
        <v>3</v>
      </c>
      <c r="AB41">
        <v>3</v>
      </c>
      <c r="AC41" s="158">
        <v>9927</v>
      </c>
      <c r="AD41" s="161">
        <v>4</v>
      </c>
      <c r="AE41" s="161">
        <v>1</v>
      </c>
      <c r="AF41" s="161">
        <v>40</v>
      </c>
      <c r="AG41" s="161">
        <v>7</v>
      </c>
      <c r="AH41" s="1">
        <v>3</v>
      </c>
      <c r="AI41" s="145" t="s">
        <v>324</v>
      </c>
      <c r="AJ41" s="156">
        <v>3</v>
      </c>
    </row>
    <row r="42" spans="3:36" x14ac:dyDescent="0.15">
      <c r="C42" s="125"/>
      <c r="D42" s="15" t="s">
        <v>152</v>
      </c>
      <c r="E42" s="15" t="s">
        <v>259</v>
      </c>
      <c r="F42" s="15" t="s">
        <v>260</v>
      </c>
      <c r="G42" s="15" t="s">
        <v>261</v>
      </c>
      <c r="H42" s="15" t="s">
        <v>262</v>
      </c>
      <c r="I42" s="15" t="s">
        <v>263</v>
      </c>
      <c r="J42" s="15" t="s">
        <v>235</v>
      </c>
      <c r="K42" s="15" t="s">
        <v>264</v>
      </c>
      <c r="L42" s="15"/>
      <c r="M42" s="15" t="s">
        <v>265</v>
      </c>
      <c r="N42" s="122"/>
      <c r="Q42" s="8" t="s">
        <v>4</v>
      </c>
      <c r="R42">
        <v>-3</v>
      </c>
      <c r="S42">
        <v>1</v>
      </c>
      <c r="T42">
        <v>-2</v>
      </c>
      <c r="U42">
        <v>2</v>
      </c>
      <c r="V42">
        <v>-2</v>
      </c>
      <c r="W42">
        <v>-3</v>
      </c>
      <c r="X42">
        <v>1</v>
      </c>
      <c r="Y42">
        <v>-2</v>
      </c>
      <c r="Z42">
        <v>1930</v>
      </c>
      <c r="AA42">
        <v>4</v>
      </c>
      <c r="AB42">
        <v>4</v>
      </c>
      <c r="AC42" s="158">
        <v>9958</v>
      </c>
      <c r="AD42" s="161">
        <v>4</v>
      </c>
      <c r="AE42" s="161">
        <v>1</v>
      </c>
      <c r="AF42" s="161">
        <v>41</v>
      </c>
      <c r="AG42" s="161">
        <v>6</v>
      </c>
      <c r="AH42" s="1">
        <v>4</v>
      </c>
      <c r="AI42" s="145" t="s">
        <v>147</v>
      </c>
      <c r="AJ42" s="156">
        <v>4</v>
      </c>
    </row>
    <row r="43" spans="3:36" x14ac:dyDescent="0.15">
      <c r="C43" s="125">
        <f>C40</f>
        <v>2</v>
      </c>
      <c r="D43" s="15">
        <f>G40</f>
        <v>7</v>
      </c>
      <c r="E43" s="15">
        <f>I40</f>
        <v>5</v>
      </c>
      <c r="F43" s="15">
        <f>E40</f>
        <v>9</v>
      </c>
      <c r="G43" s="15">
        <f>D40</f>
        <v>1</v>
      </c>
      <c r="H43" s="15">
        <f>H40</f>
        <v>6</v>
      </c>
      <c r="I43" s="15">
        <f>F40</f>
        <v>8</v>
      </c>
      <c r="J43" s="15">
        <f>J40</f>
        <v>4</v>
      </c>
      <c r="K43" s="15">
        <f>K40</f>
        <v>3</v>
      </c>
      <c r="L43" s="15" t="s">
        <v>267</v>
      </c>
      <c r="M43" s="15"/>
      <c r="N43" s="122"/>
      <c r="Q43" s="8" t="s">
        <v>5</v>
      </c>
      <c r="R43">
        <v>2</v>
      </c>
      <c r="S43">
        <v>-3</v>
      </c>
      <c r="T43">
        <v>1</v>
      </c>
      <c r="U43">
        <v>3</v>
      </c>
      <c r="V43">
        <v>1</v>
      </c>
      <c r="W43">
        <v>2</v>
      </c>
      <c r="X43">
        <v>-3</v>
      </c>
      <c r="Y43">
        <v>1</v>
      </c>
      <c r="Z43">
        <v>1931</v>
      </c>
      <c r="AA43">
        <v>5</v>
      </c>
      <c r="AB43">
        <v>5</v>
      </c>
      <c r="AC43" s="158">
        <v>9988</v>
      </c>
      <c r="AD43" s="161">
        <v>4</v>
      </c>
      <c r="AE43" s="161">
        <v>1</v>
      </c>
      <c r="AF43" s="161">
        <v>42</v>
      </c>
      <c r="AG43" s="161">
        <v>5</v>
      </c>
      <c r="AH43" s="1">
        <v>5</v>
      </c>
      <c r="AI43" s="145" t="s">
        <v>148</v>
      </c>
      <c r="AJ43" s="156">
        <v>5</v>
      </c>
    </row>
    <row r="44" spans="3:36" x14ac:dyDescent="0.15">
      <c r="C44" s="125">
        <v>1</v>
      </c>
      <c r="D44" s="123">
        <f>IF(OR($D$43=6,$D$43=7),3,IF(OR($D$43=3,$D$43=4),2,IF($D$43=1,1,IF($D$43=9,-2,-3))))</f>
        <v>3</v>
      </c>
      <c r="E44" s="12">
        <f>IF(OR($E$43=6,$E$43=7),3,IF(OR($E$43=3,$E$43=4),2,IF($E$43=1,1,IF($E$43=9,-2,-3))))</f>
        <v>-3</v>
      </c>
      <c r="F44" s="12">
        <f>IF(OR($F$43=6,$F$43=7),3,IF(OR($F$43=3,$F$43=4),2,IF($F$43=1,1,IF($F$43=9,-2,-3))))</f>
        <v>-2</v>
      </c>
      <c r="G44" s="12">
        <f>IF(OR($G$43=6,$G$43=7),3,IF(OR($G$43=3,$G$43=4),2,IF($G$43=1,1,IF($G$43=9,-2,-3))))</f>
        <v>1</v>
      </c>
      <c r="H44" s="12">
        <f>IF(OR(H$43=6,H$43=7),3,IF(OR(H$43=3,H$43=4),2,IF(H$43=1,1,IF(H$43=9,-2,-3))))</f>
        <v>3</v>
      </c>
      <c r="I44" s="12">
        <f>IF(OR(I$43=6,I$43=7),3,IF(OR(I$43=3,I$43=4),2,IF(I$43=1,1,IF(I$43=9,-2,-3))))</f>
        <v>-3</v>
      </c>
      <c r="J44" s="12">
        <f>IF(OR(J$43=6,J$43=7),3,IF(OR(J$43=3,J$43=4),2,IF(J$43=1,1,IF(J$43=9,-2,-3))))</f>
        <v>2</v>
      </c>
      <c r="K44" s="124">
        <f>IF(OR(K$43=6,K$43=7),3,IF(OR(K$43=3,K$43=4),2,IF(K$43=1,1,IF(K$43=9,-2,-3))))</f>
        <v>2</v>
      </c>
      <c r="L44" s="15" t="s">
        <v>268</v>
      </c>
      <c r="M44" s="15"/>
      <c r="N44" s="122"/>
      <c r="Q44" s="8" t="s">
        <v>6</v>
      </c>
      <c r="R44">
        <v>1</v>
      </c>
      <c r="S44">
        <v>-2</v>
      </c>
      <c r="T44">
        <v>3</v>
      </c>
      <c r="U44">
        <v>-3</v>
      </c>
      <c r="V44">
        <v>3</v>
      </c>
      <c r="W44">
        <v>1</v>
      </c>
      <c r="X44">
        <v>-2</v>
      </c>
      <c r="Y44">
        <v>3</v>
      </c>
      <c r="Z44">
        <v>1932</v>
      </c>
      <c r="AA44">
        <v>6</v>
      </c>
      <c r="AB44">
        <v>6</v>
      </c>
      <c r="AC44" s="158">
        <v>10020</v>
      </c>
      <c r="AD44" s="161">
        <v>4</v>
      </c>
      <c r="AE44" s="161">
        <v>1</v>
      </c>
      <c r="AF44" s="161">
        <v>43</v>
      </c>
      <c r="AG44" s="161">
        <v>4</v>
      </c>
      <c r="AH44" s="1">
        <v>6</v>
      </c>
      <c r="AI44" s="145" t="s">
        <v>149</v>
      </c>
      <c r="AJ44" s="156">
        <v>6</v>
      </c>
    </row>
    <row r="45" spans="3:36" x14ac:dyDescent="0.15">
      <c r="C45" s="125">
        <v>258</v>
      </c>
      <c r="D45" s="125">
        <f>IF(OR($D$43=6,$D$43=7),2,IF(OR($D$43=3,$D$43=4),-3,IF($D$43=1,-2,IF($D$43=9,3,1))))</f>
        <v>2</v>
      </c>
      <c r="E45" s="15">
        <f>IF(OR($E$43=6,$E$43=7),2,IF(OR($E$43=3,$E$43=4),-3,IF($E$43=1,-2,IF($E$43=9,3,1))))</f>
        <v>1</v>
      </c>
      <c r="F45" s="15">
        <f>IF(OR($F$43=6,$F$43=7),2,IF(OR($F$43=3,$F$43=4),-3,IF($F$43=1,-2,IF($F$43=9,3,1))))</f>
        <v>3</v>
      </c>
      <c r="G45" s="15">
        <f>IF(OR($G$43=6,$G$43=7),2,IF(OR($G$43=3,$G$43=4),-3,IF($G$43=1,-2,IF($G$43=9,3,1))))</f>
        <v>-2</v>
      </c>
      <c r="H45" s="15">
        <f>IF(OR(H$43=6,H$43=7),2,IF(OR(H$43=3,H$43=4),-3,IF(H$43=1,-2,IF(H$43=9,3,1))))</f>
        <v>2</v>
      </c>
      <c r="I45" s="15">
        <f>IF(OR(I$43=6,I$43=7),2,IF(OR(I$43=3,I$43=4),-3,IF(I$43=1,-2,IF(I$43=9,3,1))))</f>
        <v>1</v>
      </c>
      <c r="J45" s="15">
        <f>IF(OR(J$43=6,J$43=7),2,IF(OR(J$43=3,J$43=4),-3,IF(J$43=1,-2,IF(J$43=9,3,1))))</f>
        <v>-3</v>
      </c>
      <c r="K45" s="122">
        <f>IF(OR(K$43=6,K$43=7),2,IF(OR(K$43=3,K$43=4),-3,IF(K$43=1,-2,IF(K$43=9,3,1))))</f>
        <v>-3</v>
      </c>
      <c r="L45" s="15" t="s">
        <v>269</v>
      </c>
      <c r="M45" s="15"/>
      <c r="N45" s="122"/>
      <c r="Q45" s="8" t="s">
        <v>7</v>
      </c>
      <c r="R45">
        <v>1</v>
      </c>
      <c r="S45">
        <v>-2</v>
      </c>
      <c r="T45">
        <v>3</v>
      </c>
      <c r="U45">
        <v>-3</v>
      </c>
      <c r="V45">
        <v>3</v>
      </c>
      <c r="W45">
        <v>1</v>
      </c>
      <c r="X45">
        <v>-2</v>
      </c>
      <c r="Y45">
        <v>3</v>
      </c>
      <c r="Z45">
        <v>1933</v>
      </c>
      <c r="AA45">
        <v>7</v>
      </c>
      <c r="AB45">
        <v>7</v>
      </c>
      <c r="AC45" s="158">
        <v>10051</v>
      </c>
      <c r="AD45" s="161">
        <v>4</v>
      </c>
      <c r="AE45" s="161">
        <v>1</v>
      </c>
      <c r="AF45" s="161">
        <v>44</v>
      </c>
      <c r="AG45" s="161">
        <v>3</v>
      </c>
      <c r="AH45" s="1">
        <v>7</v>
      </c>
      <c r="AI45" s="145" t="s">
        <v>139</v>
      </c>
      <c r="AJ45" s="156">
        <v>7</v>
      </c>
    </row>
    <row r="46" spans="3:36" x14ac:dyDescent="0.15">
      <c r="C46" s="125">
        <v>34</v>
      </c>
      <c r="D46" s="125">
        <f>IF(OR($D$43=6,$D$43=7),-3,IF(OR($D$43=3,$D$43=4),1,IF($D$43=1,3,IF($D$43=9,2,-2))))</f>
        <v>-3</v>
      </c>
      <c r="E46" s="15">
        <f>IF(OR($E$43=6,$E$43=7),-3,IF(OR($E$43=3,$E$43=4),1,IF($E$43=1,3,IF($E$43=9,2,-2))))</f>
        <v>-2</v>
      </c>
      <c r="F46" s="15">
        <f>IF(OR($F$43=6,$F$43=7),-3,IF(OR($F$43=3,$F$43=4),1,IF($F$43=1,3,IF($F$43=9,2,-2))))</f>
        <v>2</v>
      </c>
      <c r="G46" s="15">
        <f>IF(OR($G$43=6,$G$43=7),-3,IF(OR($G$43=3,$G$43=4),1,IF($G$43=1,3,IF($G$43=9,2,-2))))</f>
        <v>3</v>
      </c>
      <c r="H46" s="15">
        <f>IF(OR(H$43=6,H$43=7),-3,IF(OR(H$43=3,H$43=4),1,IF(H$43=1,3,IF(H$43=9,2,-2))))</f>
        <v>-3</v>
      </c>
      <c r="I46" s="15">
        <f>IF(OR(I$43=6,I$43=7),-3,IF(OR(I$43=3,I$43=4),1,IF(I$43=1,3,IF(I$43=9,2,-2))))</f>
        <v>-2</v>
      </c>
      <c r="J46" s="15">
        <f>IF(OR(J$43=6,J$43=7),-3,IF(OR(J$43=3,J$43=4),1,IF(J$43=1,3,IF(J$43=9,2,-2))))</f>
        <v>1</v>
      </c>
      <c r="K46" s="122">
        <f>IF(OR(K$43=6,K$43=7),-3,IF(OR(K$43=3,K$43=4),1,IF(K$43=1,3,IF(K$43=9,2,-2))))</f>
        <v>1</v>
      </c>
      <c r="L46" s="15" t="s">
        <v>92</v>
      </c>
      <c r="M46" s="15"/>
      <c r="N46" s="122"/>
      <c r="Q46" s="8" t="s">
        <v>8</v>
      </c>
      <c r="R46">
        <v>2</v>
      </c>
      <c r="S46">
        <v>-3</v>
      </c>
      <c r="T46">
        <v>1</v>
      </c>
      <c r="U46">
        <v>3</v>
      </c>
      <c r="V46">
        <v>1</v>
      </c>
      <c r="W46">
        <v>2</v>
      </c>
      <c r="X46">
        <v>-3</v>
      </c>
      <c r="Y46">
        <v>1</v>
      </c>
      <c r="Z46">
        <v>1934</v>
      </c>
      <c r="AA46">
        <v>8</v>
      </c>
      <c r="AB46">
        <v>8</v>
      </c>
      <c r="AC46" s="158">
        <v>10082</v>
      </c>
      <c r="AD46" s="161">
        <v>4</v>
      </c>
      <c r="AE46" s="161">
        <v>1</v>
      </c>
      <c r="AF46" s="161">
        <v>45</v>
      </c>
      <c r="AG46" s="161">
        <v>2</v>
      </c>
      <c r="AH46" s="1">
        <v>8</v>
      </c>
      <c r="AI46" s="145" t="s">
        <v>141</v>
      </c>
      <c r="AJ46" s="156">
        <v>8</v>
      </c>
    </row>
    <row r="47" spans="3:36" x14ac:dyDescent="0.15">
      <c r="C47" s="125">
        <v>67</v>
      </c>
      <c r="D47" s="125">
        <f>IF(OR($D$43=6,$D$43=7),1,IF(OR($D$43=3,$D$43=4),-2,IF($D$43=1,2,IF($D$43=9,-3,3))))</f>
        <v>1</v>
      </c>
      <c r="E47" s="15">
        <f>IF(OR($E$43=6,$E$43=7),1,IF(OR($E$43=3,$E$43=4),-2,IF($E$43=1,2,IF($E$43=9,-3,3))))</f>
        <v>3</v>
      </c>
      <c r="F47" s="15">
        <f>IF(OR($F$43=6,$F$43=7),1,IF(OR($F$43=3,$F$43=4),-2,IF($F$43=1,2,IF($F$43=9,-3,3))))</f>
        <v>-3</v>
      </c>
      <c r="G47" s="15">
        <f>IF(OR($G$43=6,$G$43=7),1,IF(OR($G$43=3,$G$43=4),-2,IF($G$43=1,2,IF($G$43=9,-3,3))))</f>
        <v>2</v>
      </c>
      <c r="H47" s="15">
        <f>IF(OR(H$43=6,H$43=7),1,IF(OR(H$43=3,H$43=4),-2,IF(H$43=1,2,IF(H$43=9,-3,3))))</f>
        <v>1</v>
      </c>
      <c r="I47" s="15">
        <f>IF(OR(I$43=6,I$43=7),1,IF(OR(I$43=3,I$43=4),-2,IF(I$43=1,2,IF(I$43=9,-3,3))))</f>
        <v>3</v>
      </c>
      <c r="J47" s="15">
        <f>IF(OR(J$43=6,J$43=7),1,IF(OR(J$43=3,J$43=4),-2,IF(J$43=1,2,IF(J$43=9,-3,3))))</f>
        <v>-2</v>
      </c>
      <c r="K47" s="122">
        <f>IF(OR(K$43=6,K$43=7),1,IF(OR(K$43=3,K$43=4),-2,IF(K$43=1,2,IF(K$43=9,-3,3))))</f>
        <v>-2</v>
      </c>
      <c r="L47" s="15" t="s">
        <v>93</v>
      </c>
      <c r="M47" s="15"/>
      <c r="N47" s="122"/>
      <c r="Q47" s="8" t="s">
        <v>9</v>
      </c>
      <c r="R47">
        <v>-2</v>
      </c>
      <c r="S47">
        <v>3</v>
      </c>
      <c r="T47">
        <v>2</v>
      </c>
      <c r="U47">
        <v>1</v>
      </c>
      <c r="V47">
        <v>2</v>
      </c>
      <c r="W47">
        <v>-2</v>
      </c>
      <c r="X47">
        <v>3</v>
      </c>
      <c r="Y47">
        <v>2</v>
      </c>
      <c r="Z47">
        <v>1935</v>
      </c>
      <c r="AA47">
        <v>9</v>
      </c>
      <c r="AB47">
        <v>9</v>
      </c>
      <c r="AC47" s="158">
        <v>10114</v>
      </c>
      <c r="AD47" s="161">
        <v>4</v>
      </c>
      <c r="AE47" s="161">
        <v>1</v>
      </c>
      <c r="AF47" s="161">
        <v>46</v>
      </c>
      <c r="AG47" s="161">
        <v>1</v>
      </c>
      <c r="AH47" s="1">
        <v>9</v>
      </c>
      <c r="AI47" s="145" t="s">
        <v>142</v>
      </c>
      <c r="AJ47" s="156">
        <v>9</v>
      </c>
    </row>
    <row r="48" spans="3:36" x14ac:dyDescent="0.15">
      <c r="C48" s="126">
        <v>9</v>
      </c>
      <c r="D48" s="126">
        <f>IF(OR($D$43=6,$D$43=7),-2,IF(OR($D$43=3,$D$43=4),3,IF($D$43=1,-3,IF($D$43=9,1,2))))</f>
        <v>-2</v>
      </c>
      <c r="E48" s="32">
        <f>IF(OR($E$43=6,$E$43=7),-2,IF(OR($E$43=3,$E$43=4),3,IF($E$43=1,-3,IF($E$43=9,1,2))))</f>
        <v>2</v>
      </c>
      <c r="F48" s="32">
        <f>IF(OR($F$43=6,$F$43=7),-2,IF(OR($F$43=3,$F$43=4),3,IF($F$43=1,-3,IF($F$43=9,1,2))))</f>
        <v>1</v>
      </c>
      <c r="G48" s="32">
        <f>IF(OR($G$43=6,$G$43=7),-2,IF(OR($G$43=3,$G$43=4),3,IF($G$43=1,-3,IF($G$43=9,1,2))))</f>
        <v>-3</v>
      </c>
      <c r="H48" s="32">
        <f>IF(OR(H$43=6,H$43=7),-2,IF(OR(H$43=3,H$43=4),3,IF(H$43=1,-3,IF(H$43=9,1,2))))</f>
        <v>-2</v>
      </c>
      <c r="I48" s="32">
        <f>IF(OR(I$43=6,I$43=7),-2,IF(OR(I$43=3,I$43=4),3,IF(I$43=1,-3,IF(I$43=9,1,2))))</f>
        <v>2</v>
      </c>
      <c r="J48" s="32">
        <f>IF(OR(J$43=6,J$43=7),-2,IF(OR(J$43=3,J$43=4),3,IF(J$43=1,-3,IF(J$43=9,1,2))))</f>
        <v>3</v>
      </c>
      <c r="K48" s="127">
        <f>IF(OR(K$43=6,K$43=7),-2,IF(OR(K$43=3,K$43=4),3,IF(K$43=1,-3,IF(K$43=9,1,2))))</f>
        <v>3</v>
      </c>
      <c r="L48" s="32" t="s">
        <v>270</v>
      </c>
      <c r="M48" s="32"/>
      <c r="N48" s="127"/>
      <c r="Q48" s="8" t="s">
        <v>10</v>
      </c>
      <c r="R48">
        <v>3</v>
      </c>
      <c r="S48">
        <v>-3</v>
      </c>
      <c r="T48">
        <v>-2</v>
      </c>
      <c r="U48">
        <v>1</v>
      </c>
      <c r="V48">
        <v>3</v>
      </c>
      <c r="W48">
        <v>-3</v>
      </c>
      <c r="X48">
        <v>2</v>
      </c>
      <c r="Y48">
        <v>2</v>
      </c>
      <c r="Z48">
        <v>1936</v>
      </c>
      <c r="AA48">
        <v>10</v>
      </c>
      <c r="AB48">
        <v>10</v>
      </c>
      <c r="AC48" s="158">
        <v>10144</v>
      </c>
      <c r="AD48" s="161">
        <v>4</v>
      </c>
      <c r="AE48" s="161">
        <v>1</v>
      </c>
      <c r="AF48" s="161">
        <v>47</v>
      </c>
      <c r="AG48" s="161">
        <v>9</v>
      </c>
      <c r="AH48" s="1">
        <v>10</v>
      </c>
      <c r="AI48" s="145" t="s">
        <v>143</v>
      </c>
      <c r="AJ48" s="156">
        <v>10</v>
      </c>
    </row>
    <row r="49" spans="17:36" x14ac:dyDescent="0.15">
      <c r="Q49" s="8" t="s">
        <v>11</v>
      </c>
      <c r="R49">
        <v>2</v>
      </c>
      <c r="S49">
        <v>1</v>
      </c>
      <c r="T49">
        <v>3</v>
      </c>
      <c r="U49">
        <v>-2</v>
      </c>
      <c r="V49">
        <v>2</v>
      </c>
      <c r="W49">
        <v>1</v>
      </c>
      <c r="X49">
        <v>-3</v>
      </c>
      <c r="Y49">
        <v>-3</v>
      </c>
      <c r="Z49">
        <v>1937</v>
      </c>
      <c r="AA49">
        <v>11</v>
      </c>
      <c r="AB49">
        <v>11</v>
      </c>
      <c r="AC49" s="158">
        <v>10174</v>
      </c>
      <c r="AD49" s="161">
        <v>4</v>
      </c>
      <c r="AE49" s="161">
        <v>1</v>
      </c>
      <c r="AF49" s="161">
        <v>48</v>
      </c>
      <c r="AG49" s="161">
        <v>8</v>
      </c>
      <c r="AH49" s="1">
        <v>11</v>
      </c>
      <c r="AI49" s="145" t="s">
        <v>144</v>
      </c>
      <c r="AJ49" s="156">
        <v>11</v>
      </c>
    </row>
    <row r="50" spans="17:36" x14ac:dyDescent="0.15">
      <c r="Q50" s="8" t="s">
        <v>12</v>
      </c>
      <c r="R50">
        <v>-3</v>
      </c>
      <c r="S50">
        <v>-2</v>
      </c>
      <c r="T50">
        <v>2</v>
      </c>
      <c r="U50">
        <v>3</v>
      </c>
      <c r="V50">
        <v>-3</v>
      </c>
      <c r="W50">
        <v>-2</v>
      </c>
      <c r="X50">
        <v>1</v>
      </c>
      <c r="Y50">
        <v>1</v>
      </c>
      <c r="Z50">
        <v>1938</v>
      </c>
      <c r="AA50">
        <v>12</v>
      </c>
      <c r="AB50">
        <v>12</v>
      </c>
      <c r="AC50" s="158">
        <v>10204</v>
      </c>
      <c r="AD50" s="161">
        <v>4</v>
      </c>
      <c r="AE50" s="161">
        <v>1</v>
      </c>
      <c r="AF50" s="161">
        <v>49</v>
      </c>
      <c r="AG50" s="161">
        <v>7</v>
      </c>
      <c r="AH50" s="1">
        <v>12</v>
      </c>
      <c r="AI50" s="145" t="s">
        <v>140</v>
      </c>
      <c r="AJ50" s="156">
        <v>12</v>
      </c>
    </row>
    <row r="51" spans="17:36" x14ac:dyDescent="0.15">
      <c r="Q51" s="8" t="s">
        <v>13</v>
      </c>
      <c r="R51">
        <v>-3</v>
      </c>
      <c r="S51">
        <v>-2</v>
      </c>
      <c r="T51">
        <v>2</v>
      </c>
      <c r="U51">
        <v>3</v>
      </c>
      <c r="V51">
        <v>-3</v>
      </c>
      <c r="W51">
        <v>-2</v>
      </c>
      <c r="X51">
        <v>1</v>
      </c>
      <c r="Y51">
        <v>1</v>
      </c>
      <c r="Z51">
        <v>1939</v>
      </c>
      <c r="AB51">
        <v>13</v>
      </c>
      <c r="AC51" s="158">
        <v>10233</v>
      </c>
      <c r="AD51" s="161">
        <v>4</v>
      </c>
      <c r="AE51" s="161">
        <v>1</v>
      </c>
      <c r="AF51" s="161">
        <v>50</v>
      </c>
      <c r="AG51" s="161">
        <v>6</v>
      </c>
      <c r="AH51" s="1">
        <v>13</v>
      </c>
      <c r="AI51" s="145" t="s">
        <v>321</v>
      </c>
      <c r="AJ51" s="156">
        <v>1</v>
      </c>
    </row>
    <row r="52" spans="17:36" x14ac:dyDescent="0.15">
      <c r="Q52" s="8" t="s">
        <v>14</v>
      </c>
      <c r="R52">
        <v>2</v>
      </c>
      <c r="S52">
        <v>1</v>
      </c>
      <c r="T52">
        <v>3</v>
      </c>
      <c r="U52">
        <v>-2</v>
      </c>
      <c r="V52">
        <v>2</v>
      </c>
      <c r="W52">
        <v>1</v>
      </c>
      <c r="X52">
        <v>-3</v>
      </c>
      <c r="Y52">
        <v>-3</v>
      </c>
      <c r="Z52">
        <v>1940</v>
      </c>
      <c r="AB52">
        <v>14</v>
      </c>
      <c r="AC52" s="159">
        <v>10263</v>
      </c>
      <c r="AD52" s="161">
        <v>5</v>
      </c>
      <c r="AE52" s="161">
        <v>9</v>
      </c>
      <c r="AF52" s="161">
        <v>51</v>
      </c>
      <c r="AG52" s="161">
        <v>5</v>
      </c>
      <c r="AH52" s="1">
        <v>14</v>
      </c>
      <c r="AI52" s="145" t="s">
        <v>145</v>
      </c>
      <c r="AJ52" s="156">
        <v>2</v>
      </c>
    </row>
    <row r="53" spans="17:36" x14ac:dyDescent="0.15">
      <c r="Q53" s="8" t="s">
        <v>15</v>
      </c>
      <c r="R53">
        <v>1</v>
      </c>
      <c r="S53">
        <v>3</v>
      </c>
      <c r="T53">
        <v>-3</v>
      </c>
      <c r="U53">
        <v>2</v>
      </c>
      <c r="V53">
        <v>1</v>
      </c>
      <c r="W53">
        <v>3</v>
      </c>
      <c r="X53">
        <v>-2</v>
      </c>
      <c r="Y53">
        <v>-2</v>
      </c>
      <c r="Z53">
        <v>1941</v>
      </c>
      <c r="AB53">
        <v>15</v>
      </c>
      <c r="AC53" s="159">
        <v>10293</v>
      </c>
      <c r="AD53" s="161">
        <v>5</v>
      </c>
      <c r="AE53" s="161">
        <v>9</v>
      </c>
      <c r="AF53" s="161">
        <v>52</v>
      </c>
      <c r="AG53" s="161">
        <v>4</v>
      </c>
      <c r="AH53" s="1">
        <v>15</v>
      </c>
      <c r="AI53" s="145" t="s">
        <v>146</v>
      </c>
      <c r="AJ53" s="156">
        <v>3</v>
      </c>
    </row>
    <row r="54" spans="17:36" x14ac:dyDescent="0.15">
      <c r="Q54" s="8" t="s">
        <v>16</v>
      </c>
      <c r="R54">
        <v>1</v>
      </c>
      <c r="S54">
        <v>3</v>
      </c>
      <c r="T54">
        <v>-3</v>
      </c>
      <c r="U54">
        <v>2</v>
      </c>
      <c r="V54">
        <v>1</v>
      </c>
      <c r="W54">
        <v>3</v>
      </c>
      <c r="X54">
        <v>-2</v>
      </c>
      <c r="Y54">
        <v>-2</v>
      </c>
      <c r="Z54">
        <v>1942</v>
      </c>
      <c r="AB54">
        <v>16</v>
      </c>
      <c r="AC54" s="159">
        <v>10323</v>
      </c>
      <c r="AD54" s="161">
        <v>5</v>
      </c>
      <c r="AE54" s="161">
        <v>9</v>
      </c>
      <c r="AF54" s="161">
        <v>53</v>
      </c>
      <c r="AG54" s="161">
        <v>3</v>
      </c>
      <c r="AH54" s="1">
        <v>16</v>
      </c>
      <c r="AI54" s="145" t="s">
        <v>147</v>
      </c>
      <c r="AJ54" s="156">
        <v>4</v>
      </c>
    </row>
    <row r="55" spans="17:36" x14ac:dyDescent="0.15">
      <c r="Q55" s="8" t="s">
        <v>17</v>
      </c>
      <c r="R55">
        <v>2</v>
      </c>
      <c r="S55">
        <v>1</v>
      </c>
      <c r="T55">
        <v>3</v>
      </c>
      <c r="U55">
        <v>-2</v>
      </c>
      <c r="V55">
        <v>2</v>
      </c>
      <c r="W55">
        <v>1</v>
      </c>
      <c r="X55">
        <v>-3</v>
      </c>
      <c r="Y55">
        <v>-3</v>
      </c>
      <c r="Z55">
        <v>1943</v>
      </c>
      <c r="AB55">
        <v>17</v>
      </c>
      <c r="AC55" s="159">
        <v>10354</v>
      </c>
      <c r="AD55" s="161">
        <v>5</v>
      </c>
      <c r="AE55" s="161">
        <v>9</v>
      </c>
      <c r="AF55" s="161">
        <v>54</v>
      </c>
      <c r="AG55" s="161">
        <v>2</v>
      </c>
      <c r="AH55" s="1">
        <v>17</v>
      </c>
      <c r="AI55" s="145" t="s">
        <v>148</v>
      </c>
      <c r="AJ55" s="156">
        <v>5</v>
      </c>
    </row>
    <row r="56" spans="17:36" x14ac:dyDescent="0.15">
      <c r="Q56" s="8" t="s">
        <v>18</v>
      </c>
      <c r="R56">
        <v>-2</v>
      </c>
      <c r="S56">
        <v>2</v>
      </c>
      <c r="T56">
        <v>1</v>
      </c>
      <c r="U56">
        <v>-3</v>
      </c>
      <c r="V56">
        <v>-2</v>
      </c>
      <c r="W56">
        <v>2</v>
      </c>
      <c r="X56">
        <v>3</v>
      </c>
      <c r="Y56">
        <v>3</v>
      </c>
      <c r="Z56">
        <v>1944</v>
      </c>
      <c r="AB56">
        <v>18</v>
      </c>
      <c r="AC56" s="159">
        <v>10385</v>
      </c>
      <c r="AD56" s="161">
        <v>5</v>
      </c>
      <c r="AE56" s="161">
        <v>9</v>
      </c>
      <c r="AF56" s="161">
        <v>55</v>
      </c>
      <c r="AG56" s="161">
        <v>1</v>
      </c>
      <c r="AH56" s="1">
        <v>18</v>
      </c>
      <c r="AI56" s="145" t="s">
        <v>149</v>
      </c>
      <c r="AJ56" s="156">
        <v>6</v>
      </c>
    </row>
    <row r="57" spans="17:36" x14ac:dyDescent="0.15">
      <c r="Q57" s="8" t="s">
        <v>19</v>
      </c>
      <c r="R57">
        <v>-3</v>
      </c>
      <c r="S57">
        <v>3</v>
      </c>
      <c r="T57">
        <v>1</v>
      </c>
      <c r="U57">
        <v>-3</v>
      </c>
      <c r="V57">
        <v>3</v>
      </c>
      <c r="W57">
        <v>-2</v>
      </c>
      <c r="X57">
        <v>-3</v>
      </c>
      <c r="Y57">
        <v>2</v>
      </c>
      <c r="Z57">
        <v>1945</v>
      </c>
      <c r="AB57">
        <v>19</v>
      </c>
      <c r="AC57" s="159">
        <v>10416</v>
      </c>
      <c r="AD57" s="161">
        <v>5</v>
      </c>
      <c r="AE57" s="161">
        <v>9</v>
      </c>
      <c r="AF57" s="161">
        <v>56</v>
      </c>
      <c r="AG57" s="161">
        <v>9</v>
      </c>
      <c r="AH57" s="1">
        <v>19</v>
      </c>
      <c r="AI57" s="145" t="s">
        <v>139</v>
      </c>
      <c r="AJ57" s="156">
        <v>7</v>
      </c>
    </row>
    <row r="58" spans="17:36" x14ac:dyDescent="0.15">
      <c r="Q58" s="8" t="s">
        <v>20</v>
      </c>
      <c r="R58">
        <v>1</v>
      </c>
      <c r="S58">
        <v>2</v>
      </c>
      <c r="T58">
        <v>-2</v>
      </c>
      <c r="U58">
        <v>1</v>
      </c>
      <c r="V58">
        <v>2</v>
      </c>
      <c r="W58">
        <v>3</v>
      </c>
      <c r="X58">
        <v>1</v>
      </c>
      <c r="Y58">
        <v>-3</v>
      </c>
      <c r="Z58">
        <v>1946</v>
      </c>
      <c r="AB58">
        <v>20</v>
      </c>
      <c r="AC58" s="159">
        <v>10448</v>
      </c>
      <c r="AD58" s="161">
        <v>5</v>
      </c>
      <c r="AE58" s="161">
        <v>9</v>
      </c>
      <c r="AF58" s="161">
        <v>57</v>
      </c>
      <c r="AG58" s="161">
        <v>8</v>
      </c>
      <c r="AH58" s="1">
        <v>20</v>
      </c>
      <c r="AI58" s="145" t="s">
        <v>141</v>
      </c>
      <c r="AJ58" s="156">
        <v>8</v>
      </c>
    </row>
    <row r="59" spans="17:36" x14ac:dyDescent="0.15">
      <c r="Q59" s="8" t="s">
        <v>21</v>
      </c>
      <c r="R59">
        <v>-2</v>
      </c>
      <c r="S59">
        <v>-3</v>
      </c>
      <c r="T59">
        <v>3</v>
      </c>
      <c r="U59">
        <v>-2</v>
      </c>
      <c r="V59">
        <v>-3</v>
      </c>
      <c r="W59">
        <v>2</v>
      </c>
      <c r="X59">
        <v>-2</v>
      </c>
      <c r="Y59">
        <v>1</v>
      </c>
      <c r="Z59">
        <v>1947</v>
      </c>
      <c r="AB59">
        <v>21</v>
      </c>
      <c r="AC59" s="159">
        <v>10479</v>
      </c>
      <c r="AD59" s="161">
        <v>5</v>
      </c>
      <c r="AE59" s="161">
        <v>9</v>
      </c>
      <c r="AF59" s="161">
        <v>58</v>
      </c>
      <c r="AG59" s="161">
        <v>7</v>
      </c>
      <c r="AH59" s="1">
        <v>21</v>
      </c>
      <c r="AI59" s="145" t="s">
        <v>142</v>
      </c>
      <c r="AJ59" s="156">
        <v>9</v>
      </c>
    </row>
    <row r="60" spans="17:36" x14ac:dyDescent="0.15">
      <c r="Q60" s="8" t="s">
        <v>22</v>
      </c>
      <c r="R60">
        <v>-2</v>
      </c>
      <c r="S60">
        <v>-3</v>
      </c>
      <c r="T60">
        <v>3</v>
      </c>
      <c r="U60">
        <v>-2</v>
      </c>
      <c r="V60">
        <v>-3</v>
      </c>
      <c r="W60">
        <v>2</v>
      </c>
      <c r="X60">
        <v>-2</v>
      </c>
      <c r="Y60">
        <v>1</v>
      </c>
      <c r="Z60">
        <v>1948</v>
      </c>
      <c r="AB60">
        <v>22</v>
      </c>
      <c r="AC60" s="159">
        <v>10509</v>
      </c>
      <c r="AD60" s="161">
        <v>5</v>
      </c>
      <c r="AE60" s="161">
        <v>9</v>
      </c>
      <c r="AF60" s="161">
        <v>59</v>
      </c>
      <c r="AG60" s="161">
        <v>6</v>
      </c>
      <c r="AH60" s="1">
        <v>22</v>
      </c>
      <c r="AI60" s="145" t="s">
        <v>143</v>
      </c>
      <c r="AJ60" s="156">
        <v>10</v>
      </c>
    </row>
    <row r="61" spans="17:36" x14ac:dyDescent="0.15">
      <c r="Q61" s="8" t="s">
        <v>23</v>
      </c>
      <c r="R61">
        <v>1</v>
      </c>
      <c r="S61">
        <v>2</v>
      </c>
      <c r="T61">
        <v>-2</v>
      </c>
      <c r="U61">
        <v>1</v>
      </c>
      <c r="V61">
        <v>2</v>
      </c>
      <c r="W61">
        <v>3</v>
      </c>
      <c r="X61">
        <v>1</v>
      </c>
      <c r="Y61">
        <v>-3</v>
      </c>
      <c r="Z61">
        <v>1949</v>
      </c>
      <c r="AB61">
        <v>23</v>
      </c>
      <c r="AC61" s="159">
        <v>10540</v>
      </c>
      <c r="AD61" s="161">
        <v>5</v>
      </c>
      <c r="AE61" s="161">
        <v>9</v>
      </c>
      <c r="AF61" s="161">
        <v>60</v>
      </c>
      <c r="AG61" s="161">
        <v>5</v>
      </c>
      <c r="AH61" s="1">
        <v>23</v>
      </c>
      <c r="AI61" s="145" t="s">
        <v>144</v>
      </c>
      <c r="AJ61" s="156">
        <v>11</v>
      </c>
    </row>
    <row r="62" spans="17:36" x14ac:dyDescent="0.15">
      <c r="Q62" s="8" t="s">
        <v>25</v>
      </c>
      <c r="R62">
        <v>3</v>
      </c>
      <c r="S62">
        <v>1</v>
      </c>
      <c r="T62">
        <v>2</v>
      </c>
      <c r="U62">
        <v>3</v>
      </c>
      <c r="V62">
        <v>1</v>
      </c>
      <c r="W62">
        <v>-3</v>
      </c>
      <c r="X62">
        <v>3</v>
      </c>
      <c r="Y62">
        <v>-2</v>
      </c>
      <c r="Z62">
        <v>1950</v>
      </c>
      <c r="AB62">
        <v>24</v>
      </c>
      <c r="AC62" s="159">
        <v>10569</v>
      </c>
      <c r="AD62" s="161">
        <v>5</v>
      </c>
      <c r="AE62" s="161">
        <v>9</v>
      </c>
      <c r="AF62" s="161">
        <v>1</v>
      </c>
      <c r="AG62" s="161">
        <v>4</v>
      </c>
      <c r="AH62" s="1">
        <v>24</v>
      </c>
      <c r="AI62" s="145" t="s">
        <v>140</v>
      </c>
      <c r="AJ62" s="156">
        <v>12</v>
      </c>
    </row>
    <row r="63" spans="17:36" x14ac:dyDescent="0.15">
      <c r="Q63" s="8" t="s">
        <v>26</v>
      </c>
      <c r="R63">
        <v>3</v>
      </c>
      <c r="S63">
        <v>1</v>
      </c>
      <c r="T63">
        <v>2</v>
      </c>
      <c r="U63">
        <v>3</v>
      </c>
      <c r="V63">
        <v>1</v>
      </c>
      <c r="W63">
        <v>-3</v>
      </c>
      <c r="X63">
        <v>3</v>
      </c>
      <c r="Y63">
        <v>-2</v>
      </c>
      <c r="Z63">
        <v>1951</v>
      </c>
      <c r="AB63">
        <v>25</v>
      </c>
      <c r="AC63" s="159">
        <v>10599</v>
      </c>
      <c r="AD63" s="161">
        <v>5</v>
      </c>
      <c r="AE63" s="161">
        <v>9</v>
      </c>
      <c r="AF63" s="161">
        <v>2</v>
      </c>
      <c r="AG63" s="161">
        <v>3</v>
      </c>
      <c r="AH63" s="1">
        <v>25</v>
      </c>
      <c r="AI63" s="145" t="s">
        <v>321</v>
      </c>
      <c r="AJ63" s="156">
        <v>1</v>
      </c>
    </row>
    <row r="64" spans="17:36" x14ac:dyDescent="0.15">
      <c r="Q64" s="8" t="s">
        <v>27</v>
      </c>
      <c r="R64">
        <v>1</v>
      </c>
      <c r="S64">
        <v>2</v>
      </c>
      <c r="T64">
        <v>-2</v>
      </c>
      <c r="U64">
        <v>1</v>
      </c>
      <c r="V64">
        <v>2</v>
      </c>
      <c r="W64">
        <v>3</v>
      </c>
      <c r="X64">
        <v>1</v>
      </c>
      <c r="Y64">
        <v>-3</v>
      </c>
      <c r="Z64">
        <v>1952</v>
      </c>
      <c r="AB64">
        <v>26</v>
      </c>
      <c r="AC64" s="159">
        <v>10628</v>
      </c>
      <c r="AD64" s="161">
        <v>6</v>
      </c>
      <c r="AE64" s="161">
        <v>8</v>
      </c>
      <c r="AF64" s="161">
        <v>3</v>
      </c>
      <c r="AG64" s="161">
        <v>2</v>
      </c>
      <c r="AH64" s="1">
        <v>26</v>
      </c>
      <c r="AI64" s="145" t="s">
        <v>145</v>
      </c>
      <c r="AJ64" s="156">
        <v>2</v>
      </c>
    </row>
    <row r="65" spans="17:36" x14ac:dyDescent="0.15">
      <c r="Q65" s="8" t="s">
        <v>28</v>
      </c>
      <c r="R65">
        <v>2</v>
      </c>
      <c r="S65">
        <v>-2</v>
      </c>
      <c r="T65">
        <v>-3</v>
      </c>
      <c r="U65">
        <v>2</v>
      </c>
      <c r="V65">
        <v>-2</v>
      </c>
      <c r="W65">
        <v>1</v>
      </c>
      <c r="X65">
        <v>2</v>
      </c>
      <c r="Y65">
        <v>3</v>
      </c>
      <c r="Z65">
        <v>1953</v>
      </c>
      <c r="AB65">
        <v>27</v>
      </c>
      <c r="AC65" s="159">
        <v>10658</v>
      </c>
      <c r="AD65" s="161">
        <v>6</v>
      </c>
      <c r="AE65" s="161">
        <v>8</v>
      </c>
      <c r="AF65" s="161">
        <v>4</v>
      </c>
      <c r="AG65" s="161">
        <v>1</v>
      </c>
      <c r="AH65" s="1">
        <v>27</v>
      </c>
      <c r="AI65" s="145" t="s">
        <v>146</v>
      </c>
      <c r="AJ65" s="156">
        <v>3</v>
      </c>
    </row>
    <row r="66" spans="17:36" x14ac:dyDescent="0.15">
      <c r="Q66" s="8" t="s">
        <v>29</v>
      </c>
      <c r="R66">
        <v>-2</v>
      </c>
      <c r="S66">
        <v>3</v>
      </c>
      <c r="T66">
        <v>-3</v>
      </c>
      <c r="U66">
        <v>2</v>
      </c>
      <c r="V66">
        <v>-3</v>
      </c>
      <c r="W66">
        <v>1</v>
      </c>
      <c r="X66">
        <v>3</v>
      </c>
      <c r="Y66">
        <v>-3</v>
      </c>
      <c r="Z66">
        <v>1954</v>
      </c>
      <c r="AB66">
        <v>28</v>
      </c>
      <c r="AC66" s="159">
        <v>10688</v>
      </c>
      <c r="AD66" s="161">
        <v>6</v>
      </c>
      <c r="AE66" s="161">
        <v>8</v>
      </c>
      <c r="AF66" s="161">
        <v>5</v>
      </c>
      <c r="AG66" s="161">
        <v>9</v>
      </c>
      <c r="AH66" s="1">
        <v>28</v>
      </c>
      <c r="AI66" s="145" t="s">
        <v>147</v>
      </c>
      <c r="AJ66" s="156">
        <v>4</v>
      </c>
    </row>
    <row r="67" spans="17:36" x14ac:dyDescent="0.15">
      <c r="Q67" s="8" t="s">
        <v>30</v>
      </c>
      <c r="R67">
        <v>3</v>
      </c>
      <c r="S67">
        <v>2</v>
      </c>
      <c r="T67">
        <v>1</v>
      </c>
      <c r="U67">
        <v>-3</v>
      </c>
      <c r="V67">
        <v>1</v>
      </c>
      <c r="W67">
        <v>-2</v>
      </c>
      <c r="X67">
        <v>2</v>
      </c>
      <c r="Y67">
        <v>1</v>
      </c>
      <c r="Z67">
        <v>1955</v>
      </c>
      <c r="AB67">
        <v>29</v>
      </c>
      <c r="AC67" s="159">
        <v>10719</v>
      </c>
      <c r="AD67" s="161">
        <v>6</v>
      </c>
      <c r="AE67" s="161">
        <v>8</v>
      </c>
      <c r="AF67" s="161">
        <v>6</v>
      </c>
      <c r="AG67" s="161">
        <v>8</v>
      </c>
      <c r="AH67" s="1">
        <v>29</v>
      </c>
      <c r="AI67" s="145" t="s">
        <v>148</v>
      </c>
      <c r="AJ67" s="156">
        <v>5</v>
      </c>
    </row>
    <row r="68" spans="17:36" x14ac:dyDescent="0.15">
      <c r="Q68" s="8" t="s">
        <v>31</v>
      </c>
      <c r="R68">
        <v>2</v>
      </c>
      <c r="S68">
        <v>-3</v>
      </c>
      <c r="T68">
        <v>-2</v>
      </c>
      <c r="U68">
        <v>1</v>
      </c>
      <c r="V68">
        <v>-2</v>
      </c>
      <c r="W68">
        <v>3</v>
      </c>
      <c r="X68">
        <v>-3</v>
      </c>
      <c r="Y68">
        <v>-2</v>
      </c>
      <c r="Z68">
        <v>1956</v>
      </c>
      <c r="AB68">
        <v>30</v>
      </c>
      <c r="AC68" s="159">
        <v>10750</v>
      </c>
      <c r="AD68" s="161">
        <v>6</v>
      </c>
      <c r="AE68" s="161">
        <v>8</v>
      </c>
      <c r="AF68" s="161">
        <v>7</v>
      </c>
      <c r="AG68" s="161">
        <v>7</v>
      </c>
      <c r="AH68" s="1">
        <v>30</v>
      </c>
      <c r="AI68" s="145" t="s">
        <v>149</v>
      </c>
      <c r="AJ68" s="156">
        <v>6</v>
      </c>
    </row>
    <row r="69" spans="17:36" x14ac:dyDescent="0.15">
      <c r="Q69" s="8" t="s">
        <v>32</v>
      </c>
      <c r="R69">
        <v>2</v>
      </c>
      <c r="S69">
        <v>-3</v>
      </c>
      <c r="T69">
        <v>-2</v>
      </c>
      <c r="U69">
        <v>1</v>
      </c>
      <c r="V69">
        <v>-2</v>
      </c>
      <c r="W69">
        <v>3</v>
      </c>
      <c r="X69">
        <v>-3</v>
      </c>
      <c r="Y69">
        <v>-2</v>
      </c>
      <c r="Z69">
        <v>1957</v>
      </c>
      <c r="AB69">
        <v>31</v>
      </c>
      <c r="AC69" s="159">
        <v>10782</v>
      </c>
      <c r="AD69" s="161">
        <v>6</v>
      </c>
      <c r="AE69" s="161">
        <v>8</v>
      </c>
      <c r="AF69" s="161">
        <v>8</v>
      </c>
      <c r="AG69" s="161">
        <v>6</v>
      </c>
      <c r="AH69" s="1">
        <v>31</v>
      </c>
      <c r="AI69" s="145" t="s">
        <v>139</v>
      </c>
      <c r="AJ69" s="156">
        <v>7</v>
      </c>
    </row>
    <row r="70" spans="17:36" x14ac:dyDescent="0.15">
      <c r="Q70" s="8" t="s">
        <v>33</v>
      </c>
      <c r="R70">
        <v>3</v>
      </c>
      <c r="S70">
        <v>2</v>
      </c>
      <c r="T70">
        <v>1</v>
      </c>
      <c r="U70">
        <v>-3</v>
      </c>
      <c r="V70">
        <v>1</v>
      </c>
      <c r="W70">
        <v>-2</v>
      </c>
      <c r="X70">
        <v>2</v>
      </c>
      <c r="Y70">
        <v>1</v>
      </c>
      <c r="Z70">
        <v>1958</v>
      </c>
      <c r="AC70" s="159">
        <v>10813</v>
      </c>
      <c r="AD70" s="161">
        <v>6</v>
      </c>
      <c r="AE70" s="161">
        <v>8</v>
      </c>
      <c r="AF70" s="161">
        <v>9</v>
      </c>
      <c r="AG70" s="161">
        <v>5</v>
      </c>
      <c r="AH70" s="1">
        <v>32</v>
      </c>
      <c r="AI70" s="145" t="s">
        <v>141</v>
      </c>
      <c r="AJ70" s="156">
        <v>8</v>
      </c>
    </row>
    <row r="71" spans="17:36" x14ac:dyDescent="0.15">
      <c r="Q71" s="8" t="s">
        <v>34</v>
      </c>
      <c r="R71">
        <v>-3</v>
      </c>
      <c r="S71">
        <v>1</v>
      </c>
      <c r="T71">
        <v>3</v>
      </c>
      <c r="U71">
        <v>-2</v>
      </c>
      <c r="V71">
        <v>3</v>
      </c>
      <c r="W71">
        <v>2</v>
      </c>
      <c r="X71">
        <v>1</v>
      </c>
      <c r="Y71">
        <v>3</v>
      </c>
      <c r="Z71">
        <v>1959</v>
      </c>
      <c r="AC71" s="159">
        <v>10844</v>
      </c>
      <c r="AD71" s="161">
        <v>6</v>
      </c>
      <c r="AE71" s="161">
        <v>8</v>
      </c>
      <c r="AF71" s="161">
        <v>10</v>
      </c>
      <c r="AG71" s="161">
        <v>4</v>
      </c>
      <c r="AH71" s="1">
        <v>33</v>
      </c>
      <c r="AI71" s="145" t="s">
        <v>142</v>
      </c>
      <c r="AJ71" s="156">
        <v>9</v>
      </c>
    </row>
    <row r="72" spans="17:36" x14ac:dyDescent="0.15">
      <c r="Q72" s="8" t="s">
        <v>35</v>
      </c>
      <c r="R72">
        <v>-3</v>
      </c>
      <c r="S72">
        <v>1</v>
      </c>
      <c r="T72">
        <v>3</v>
      </c>
      <c r="U72">
        <v>-2</v>
      </c>
      <c r="V72">
        <v>3</v>
      </c>
      <c r="W72">
        <v>2</v>
      </c>
      <c r="X72">
        <v>1</v>
      </c>
      <c r="Y72">
        <v>3</v>
      </c>
      <c r="Z72">
        <v>1960</v>
      </c>
      <c r="AC72" s="159">
        <v>10875</v>
      </c>
      <c r="AD72" s="161">
        <v>6</v>
      </c>
      <c r="AE72" s="161">
        <v>8</v>
      </c>
      <c r="AF72" s="161">
        <v>11</v>
      </c>
      <c r="AG72" s="161">
        <v>3</v>
      </c>
      <c r="AH72" s="1">
        <v>34</v>
      </c>
      <c r="AI72" s="145" t="s">
        <v>143</v>
      </c>
      <c r="AJ72" s="156">
        <v>10</v>
      </c>
    </row>
    <row r="73" spans="17:36" x14ac:dyDescent="0.15">
      <c r="Q73" s="8" t="s">
        <v>36</v>
      </c>
      <c r="R73">
        <v>3</v>
      </c>
      <c r="S73">
        <v>2</v>
      </c>
      <c r="T73">
        <v>1</v>
      </c>
      <c r="U73">
        <v>-3</v>
      </c>
      <c r="V73">
        <v>1</v>
      </c>
      <c r="W73">
        <v>-2</v>
      </c>
      <c r="X73">
        <v>2</v>
      </c>
      <c r="Y73">
        <v>1</v>
      </c>
      <c r="Z73">
        <v>1961</v>
      </c>
      <c r="AC73" s="159">
        <v>10905</v>
      </c>
      <c r="AD73" s="161">
        <v>6</v>
      </c>
      <c r="AE73" s="161">
        <v>8</v>
      </c>
      <c r="AF73" s="161">
        <v>12</v>
      </c>
      <c r="AG73" s="161">
        <v>2</v>
      </c>
      <c r="AH73" s="1">
        <v>35</v>
      </c>
      <c r="AI73" s="145" t="s">
        <v>144</v>
      </c>
      <c r="AJ73" s="156">
        <v>11</v>
      </c>
    </row>
    <row r="74" spans="17:36" x14ac:dyDescent="0.15">
      <c r="Q74" s="8" t="s">
        <v>37</v>
      </c>
      <c r="R74">
        <v>1</v>
      </c>
      <c r="S74">
        <v>-2</v>
      </c>
      <c r="T74">
        <v>2</v>
      </c>
      <c r="U74">
        <v>3</v>
      </c>
      <c r="V74">
        <v>2</v>
      </c>
      <c r="W74">
        <v>-3</v>
      </c>
      <c r="X74">
        <v>-2</v>
      </c>
      <c r="Y74">
        <v>2</v>
      </c>
      <c r="Z74">
        <v>1962</v>
      </c>
      <c r="AC74" s="159">
        <v>10934</v>
      </c>
      <c r="AD74" s="161">
        <v>6</v>
      </c>
      <c r="AE74" s="161">
        <v>8</v>
      </c>
      <c r="AF74" s="161">
        <v>13</v>
      </c>
      <c r="AG74" s="161">
        <v>1</v>
      </c>
      <c r="AH74" s="1">
        <v>36</v>
      </c>
      <c r="AI74" s="145" t="s">
        <v>140</v>
      </c>
      <c r="AJ74" s="156">
        <v>12</v>
      </c>
    </row>
    <row r="75" spans="17:36" x14ac:dyDescent="0.15">
      <c r="Q75" s="8" t="s">
        <v>38</v>
      </c>
      <c r="R75">
        <v>1</v>
      </c>
      <c r="S75">
        <v>-3</v>
      </c>
      <c r="T75">
        <v>2</v>
      </c>
      <c r="U75">
        <v>2</v>
      </c>
      <c r="V75">
        <v>-2</v>
      </c>
      <c r="W75">
        <v>-3</v>
      </c>
      <c r="X75">
        <v>3</v>
      </c>
      <c r="Y75">
        <v>3</v>
      </c>
      <c r="Z75">
        <v>1963</v>
      </c>
      <c r="AC75" s="159">
        <v>10964</v>
      </c>
      <c r="AD75" s="161">
        <v>6</v>
      </c>
      <c r="AE75" s="161">
        <v>8</v>
      </c>
      <c r="AF75" s="161">
        <v>14</v>
      </c>
      <c r="AG75" s="161">
        <v>9</v>
      </c>
      <c r="AH75" s="1">
        <v>37</v>
      </c>
      <c r="AI75" s="145" t="s">
        <v>321</v>
      </c>
      <c r="AJ75" s="156">
        <v>1</v>
      </c>
    </row>
    <row r="76" spans="17:36" x14ac:dyDescent="0.15">
      <c r="Q76" s="8" t="s">
        <v>39</v>
      </c>
      <c r="R76">
        <v>-2</v>
      </c>
      <c r="S76">
        <v>1</v>
      </c>
      <c r="T76">
        <v>-3</v>
      </c>
      <c r="U76">
        <v>-3</v>
      </c>
      <c r="V76">
        <v>3</v>
      </c>
      <c r="W76">
        <v>1</v>
      </c>
      <c r="X76">
        <v>2</v>
      </c>
      <c r="Y76">
        <v>2</v>
      </c>
      <c r="Z76">
        <v>1964</v>
      </c>
      <c r="AC76" s="159">
        <v>10993</v>
      </c>
      <c r="AD76" s="161">
        <v>7</v>
      </c>
      <c r="AE76" s="161">
        <v>7</v>
      </c>
      <c r="AF76" s="161">
        <v>15</v>
      </c>
      <c r="AG76" s="161">
        <v>8</v>
      </c>
      <c r="AH76" s="1">
        <v>38</v>
      </c>
      <c r="AI76" s="145" t="s">
        <v>145</v>
      </c>
      <c r="AJ76" s="156">
        <v>2</v>
      </c>
    </row>
    <row r="77" spans="17:36" x14ac:dyDescent="0.15">
      <c r="Q77" s="8" t="s">
        <v>40</v>
      </c>
      <c r="R77">
        <v>3</v>
      </c>
      <c r="S77">
        <v>-2</v>
      </c>
      <c r="T77">
        <v>1</v>
      </c>
      <c r="U77">
        <v>1</v>
      </c>
      <c r="V77">
        <v>2</v>
      </c>
      <c r="W77">
        <v>-2</v>
      </c>
      <c r="X77">
        <v>-3</v>
      </c>
      <c r="Y77">
        <v>-3</v>
      </c>
      <c r="Z77">
        <v>1965</v>
      </c>
      <c r="AC77" s="159">
        <v>11023</v>
      </c>
      <c r="AD77" s="161">
        <v>7</v>
      </c>
      <c r="AE77" s="161">
        <v>7</v>
      </c>
      <c r="AF77" s="161">
        <v>16</v>
      </c>
      <c r="AG77" s="161">
        <v>7</v>
      </c>
      <c r="AH77" s="1">
        <v>39</v>
      </c>
      <c r="AI77" s="145" t="s">
        <v>146</v>
      </c>
      <c r="AJ77" s="156">
        <v>3</v>
      </c>
    </row>
    <row r="78" spans="17:36" x14ac:dyDescent="0.15">
      <c r="Q78" s="8" t="s">
        <v>41</v>
      </c>
      <c r="R78">
        <v>3</v>
      </c>
      <c r="S78">
        <v>-2</v>
      </c>
      <c r="T78">
        <v>1</v>
      </c>
      <c r="U78">
        <v>1</v>
      </c>
      <c r="V78">
        <v>2</v>
      </c>
      <c r="W78">
        <v>-2</v>
      </c>
      <c r="X78">
        <v>-3</v>
      </c>
      <c r="Y78">
        <v>-3</v>
      </c>
      <c r="Z78">
        <v>1966</v>
      </c>
      <c r="AC78" s="159">
        <v>11053</v>
      </c>
      <c r="AD78" s="161">
        <v>7</v>
      </c>
      <c r="AE78" s="161">
        <v>7</v>
      </c>
      <c r="AF78" s="161">
        <v>17</v>
      </c>
      <c r="AG78" s="161">
        <v>6</v>
      </c>
      <c r="AH78" s="1">
        <v>40</v>
      </c>
      <c r="AI78" s="145" t="s">
        <v>147</v>
      </c>
      <c r="AJ78" s="156">
        <v>4</v>
      </c>
    </row>
    <row r="79" spans="17:36" x14ac:dyDescent="0.15">
      <c r="Q79" s="8" t="s">
        <v>42</v>
      </c>
      <c r="R79">
        <v>-2</v>
      </c>
      <c r="S79">
        <v>1</v>
      </c>
      <c r="T79">
        <v>-3</v>
      </c>
      <c r="U79">
        <v>-3</v>
      </c>
      <c r="V79">
        <v>3</v>
      </c>
      <c r="W79">
        <v>1</v>
      </c>
      <c r="X79">
        <v>2</v>
      </c>
      <c r="Y79">
        <v>2</v>
      </c>
      <c r="Z79">
        <v>1967</v>
      </c>
      <c r="AC79" s="159">
        <v>11084</v>
      </c>
      <c r="AD79" s="161">
        <v>7</v>
      </c>
      <c r="AE79" s="161">
        <v>7</v>
      </c>
      <c r="AF79" s="161">
        <v>18</v>
      </c>
      <c r="AG79" s="161">
        <v>5</v>
      </c>
      <c r="AH79" s="1">
        <v>41</v>
      </c>
      <c r="AI79" s="145" t="s">
        <v>148</v>
      </c>
      <c r="AJ79" s="156">
        <v>5</v>
      </c>
    </row>
    <row r="80" spans="17:36" x14ac:dyDescent="0.15">
      <c r="Q80" s="8" t="s">
        <v>43</v>
      </c>
      <c r="R80">
        <v>1</v>
      </c>
      <c r="S80">
        <v>3</v>
      </c>
      <c r="T80">
        <v>-2</v>
      </c>
      <c r="U80">
        <v>-2</v>
      </c>
      <c r="V80">
        <v>-3</v>
      </c>
      <c r="W80">
        <v>3</v>
      </c>
      <c r="X80">
        <v>1</v>
      </c>
      <c r="Y80">
        <v>1</v>
      </c>
      <c r="Z80">
        <v>1968</v>
      </c>
      <c r="AC80" s="159">
        <v>11115</v>
      </c>
      <c r="AD80" s="161">
        <v>7</v>
      </c>
      <c r="AE80" s="161">
        <v>7</v>
      </c>
      <c r="AF80" s="161">
        <v>19</v>
      </c>
      <c r="AG80" s="161">
        <v>4</v>
      </c>
      <c r="AH80" s="1">
        <v>42</v>
      </c>
      <c r="AI80" s="145" t="s">
        <v>149</v>
      </c>
      <c r="AJ80" s="156">
        <v>6</v>
      </c>
    </row>
    <row r="81" spans="17:36" x14ac:dyDescent="0.15">
      <c r="Q81" s="8" t="s">
        <v>44</v>
      </c>
      <c r="R81">
        <v>1</v>
      </c>
      <c r="S81">
        <v>3</v>
      </c>
      <c r="T81">
        <v>-2</v>
      </c>
      <c r="U81">
        <v>-2</v>
      </c>
      <c r="V81">
        <v>-3</v>
      </c>
      <c r="W81">
        <v>3</v>
      </c>
      <c r="X81">
        <v>1</v>
      </c>
      <c r="Y81">
        <v>1</v>
      </c>
      <c r="Z81">
        <v>1969</v>
      </c>
      <c r="AC81" s="159">
        <v>11147</v>
      </c>
      <c r="AD81" s="161">
        <v>7</v>
      </c>
      <c r="AE81" s="161">
        <v>7</v>
      </c>
      <c r="AF81" s="161">
        <v>20</v>
      </c>
      <c r="AG81" s="161">
        <v>3</v>
      </c>
      <c r="AH81" s="1">
        <v>43</v>
      </c>
      <c r="AI81" s="145" t="s">
        <v>139</v>
      </c>
      <c r="AJ81" s="156">
        <v>7</v>
      </c>
    </row>
    <row r="82" spans="17:36" x14ac:dyDescent="0.15">
      <c r="Q82" s="8" t="s">
        <v>45</v>
      </c>
      <c r="R82">
        <v>-2</v>
      </c>
      <c r="S82">
        <v>1</v>
      </c>
      <c r="T82">
        <v>-3</v>
      </c>
      <c r="U82">
        <v>-3</v>
      </c>
      <c r="V82">
        <v>3</v>
      </c>
      <c r="W82">
        <v>1</v>
      </c>
      <c r="X82">
        <v>2</v>
      </c>
      <c r="Y82">
        <v>2</v>
      </c>
      <c r="Z82">
        <v>1970</v>
      </c>
      <c r="AC82" s="159">
        <v>11178</v>
      </c>
      <c r="AD82" s="161">
        <v>7</v>
      </c>
      <c r="AE82" s="161">
        <v>7</v>
      </c>
      <c r="AF82" s="161">
        <v>21</v>
      </c>
      <c r="AG82" s="161">
        <v>2</v>
      </c>
      <c r="AH82" s="1">
        <v>44</v>
      </c>
      <c r="AI82" s="145" t="s">
        <v>141</v>
      </c>
      <c r="AJ82" s="156">
        <v>8</v>
      </c>
    </row>
    <row r="83" spans="17:36" x14ac:dyDescent="0.15">
      <c r="Q83" s="8" t="s">
        <v>46</v>
      </c>
      <c r="R83">
        <v>-3</v>
      </c>
      <c r="S83">
        <v>2</v>
      </c>
      <c r="T83">
        <v>3</v>
      </c>
      <c r="U83">
        <v>3</v>
      </c>
      <c r="V83">
        <v>1</v>
      </c>
      <c r="W83">
        <v>2</v>
      </c>
      <c r="X83">
        <v>-2</v>
      </c>
      <c r="Y83">
        <v>-2</v>
      </c>
      <c r="Z83">
        <v>1971</v>
      </c>
      <c r="AC83" s="159">
        <v>11209</v>
      </c>
      <c r="AD83" s="161">
        <v>7</v>
      </c>
      <c r="AE83" s="161">
        <v>7</v>
      </c>
      <c r="AF83" s="161">
        <v>22</v>
      </c>
      <c r="AG83" s="161">
        <v>1</v>
      </c>
      <c r="AH83" s="1">
        <v>45</v>
      </c>
      <c r="AI83" s="145" t="s">
        <v>142</v>
      </c>
      <c r="AJ83" s="156">
        <v>9</v>
      </c>
    </row>
    <row r="84" spans="17:36" x14ac:dyDescent="0.15">
      <c r="Q84" s="8" t="s">
        <v>47</v>
      </c>
      <c r="R84">
        <v>-3</v>
      </c>
      <c r="S84">
        <v>-2</v>
      </c>
      <c r="T84">
        <v>2</v>
      </c>
      <c r="U84">
        <v>-3</v>
      </c>
      <c r="V84">
        <v>1</v>
      </c>
      <c r="W84">
        <v>2</v>
      </c>
      <c r="X84">
        <v>-3</v>
      </c>
      <c r="Y84">
        <v>3</v>
      </c>
      <c r="Z84">
        <v>1972</v>
      </c>
      <c r="AC84" s="159">
        <v>11240</v>
      </c>
      <c r="AD84" s="161">
        <v>7</v>
      </c>
      <c r="AE84" s="161">
        <v>7</v>
      </c>
      <c r="AF84" s="161">
        <v>23</v>
      </c>
      <c r="AG84" s="161">
        <v>9</v>
      </c>
      <c r="AH84" s="1">
        <v>46</v>
      </c>
      <c r="AI84" s="145" t="s">
        <v>143</v>
      </c>
      <c r="AJ84" s="156">
        <v>10</v>
      </c>
    </row>
    <row r="85" spans="17:36" x14ac:dyDescent="0.15">
      <c r="Q85" s="8" t="s">
        <v>48</v>
      </c>
      <c r="R85">
        <v>1</v>
      </c>
      <c r="S85">
        <v>3</v>
      </c>
      <c r="T85">
        <v>-3</v>
      </c>
      <c r="U85">
        <v>1</v>
      </c>
      <c r="V85">
        <v>-2</v>
      </c>
      <c r="W85">
        <v>-3</v>
      </c>
      <c r="X85">
        <v>1</v>
      </c>
      <c r="Y85">
        <v>2</v>
      </c>
      <c r="Z85">
        <v>1973</v>
      </c>
      <c r="AC85" s="159">
        <v>11270</v>
      </c>
      <c r="AD85" s="161">
        <v>7</v>
      </c>
      <c r="AE85" s="161">
        <v>7</v>
      </c>
      <c r="AF85" s="161">
        <v>24</v>
      </c>
      <c r="AG85" s="161">
        <v>8</v>
      </c>
      <c r="AH85" s="1">
        <v>47</v>
      </c>
      <c r="AI85" s="145" t="s">
        <v>144</v>
      </c>
      <c r="AJ85" s="156">
        <v>11</v>
      </c>
    </row>
    <row r="86" spans="17:36" x14ac:dyDescent="0.15">
      <c r="Q86" s="8" t="s">
        <v>49</v>
      </c>
      <c r="R86">
        <v>-2</v>
      </c>
      <c r="S86">
        <v>2</v>
      </c>
      <c r="T86">
        <v>1</v>
      </c>
      <c r="U86">
        <v>-2</v>
      </c>
      <c r="V86">
        <v>3</v>
      </c>
      <c r="W86">
        <v>1</v>
      </c>
      <c r="X86">
        <v>-2</v>
      </c>
      <c r="Y86">
        <v>-3</v>
      </c>
      <c r="Z86">
        <v>1974</v>
      </c>
      <c r="AC86" s="159">
        <v>11300</v>
      </c>
      <c r="AD86" s="161">
        <v>7</v>
      </c>
      <c r="AE86" s="161">
        <v>7</v>
      </c>
      <c r="AF86" s="161">
        <v>25</v>
      </c>
      <c r="AG86" s="161">
        <v>7</v>
      </c>
      <c r="AH86" s="1">
        <v>48</v>
      </c>
      <c r="AI86" s="145" t="s">
        <v>140</v>
      </c>
      <c r="AJ86" s="156">
        <v>12</v>
      </c>
    </row>
    <row r="87" spans="17:36" x14ac:dyDescent="0.15">
      <c r="Q87" s="8" t="s">
        <v>50</v>
      </c>
      <c r="R87">
        <v>-2</v>
      </c>
      <c r="S87">
        <v>2</v>
      </c>
      <c r="T87">
        <v>1</v>
      </c>
      <c r="U87">
        <v>-2</v>
      </c>
      <c r="V87">
        <v>3</v>
      </c>
      <c r="W87">
        <v>1</v>
      </c>
      <c r="X87">
        <v>-2</v>
      </c>
      <c r="Y87">
        <v>-3</v>
      </c>
      <c r="Z87">
        <v>1975</v>
      </c>
      <c r="AC87" s="158">
        <v>11329</v>
      </c>
      <c r="AD87" s="161">
        <v>7</v>
      </c>
      <c r="AE87" s="161">
        <v>7</v>
      </c>
      <c r="AF87" s="161">
        <v>26</v>
      </c>
      <c r="AG87" s="161">
        <v>6</v>
      </c>
      <c r="AH87" s="1">
        <v>49</v>
      </c>
      <c r="AI87" s="145" t="s">
        <v>321</v>
      </c>
      <c r="AJ87" s="156">
        <v>1</v>
      </c>
    </row>
    <row r="88" spans="17:36" x14ac:dyDescent="0.15">
      <c r="Q88" s="8" t="s">
        <v>51</v>
      </c>
      <c r="R88">
        <v>1</v>
      </c>
      <c r="S88">
        <v>3</v>
      </c>
      <c r="T88">
        <v>-3</v>
      </c>
      <c r="U88">
        <v>1</v>
      </c>
      <c r="V88">
        <v>-2</v>
      </c>
      <c r="W88">
        <v>-3</v>
      </c>
      <c r="X88">
        <v>1</v>
      </c>
      <c r="Y88">
        <v>2</v>
      </c>
      <c r="Z88">
        <v>1976</v>
      </c>
      <c r="AC88" s="158">
        <v>11359</v>
      </c>
      <c r="AD88" s="161">
        <v>8</v>
      </c>
      <c r="AE88" s="161">
        <v>6</v>
      </c>
      <c r="AF88" s="161">
        <v>27</v>
      </c>
      <c r="AG88" s="161">
        <v>5</v>
      </c>
      <c r="AH88" s="1">
        <v>50</v>
      </c>
      <c r="AI88" s="145" t="s">
        <v>145</v>
      </c>
      <c r="AJ88" s="156">
        <v>2</v>
      </c>
    </row>
    <row r="89" spans="17:36" x14ac:dyDescent="0.15">
      <c r="Q89" s="8" t="s">
        <v>52</v>
      </c>
      <c r="R89">
        <v>3</v>
      </c>
      <c r="S89">
        <v>-3</v>
      </c>
      <c r="T89">
        <v>-2</v>
      </c>
      <c r="U89">
        <v>3</v>
      </c>
      <c r="V89">
        <v>2</v>
      </c>
      <c r="W89">
        <v>-2</v>
      </c>
      <c r="X89">
        <v>3</v>
      </c>
      <c r="Y89">
        <v>1</v>
      </c>
      <c r="Z89">
        <v>1977</v>
      </c>
      <c r="AC89" s="158">
        <v>11388</v>
      </c>
      <c r="AD89" s="161">
        <v>8</v>
      </c>
      <c r="AE89" s="161">
        <v>6</v>
      </c>
      <c r="AF89" s="161">
        <v>28</v>
      </c>
      <c r="AG89" s="161">
        <v>4</v>
      </c>
      <c r="AH89" s="1">
        <v>51</v>
      </c>
      <c r="AI89" s="145" t="s">
        <v>146</v>
      </c>
      <c r="AJ89" s="156">
        <v>3</v>
      </c>
    </row>
    <row r="90" spans="17:36" x14ac:dyDescent="0.15">
      <c r="Q90" s="8" t="s">
        <v>53</v>
      </c>
      <c r="R90">
        <v>3</v>
      </c>
      <c r="S90">
        <v>-3</v>
      </c>
      <c r="T90">
        <v>-2</v>
      </c>
      <c r="U90">
        <v>3</v>
      </c>
      <c r="V90">
        <v>2</v>
      </c>
      <c r="W90">
        <v>-2</v>
      </c>
      <c r="X90">
        <v>3</v>
      </c>
      <c r="Y90">
        <v>1</v>
      </c>
      <c r="Z90">
        <v>1978</v>
      </c>
      <c r="AC90" s="158">
        <v>11419</v>
      </c>
      <c r="AD90" s="161">
        <v>8</v>
      </c>
      <c r="AE90" s="161">
        <v>6</v>
      </c>
      <c r="AF90" s="161">
        <v>29</v>
      </c>
      <c r="AG90" s="161">
        <v>3</v>
      </c>
      <c r="AH90" s="1">
        <v>52</v>
      </c>
      <c r="AI90" s="145" t="s">
        <v>147</v>
      </c>
      <c r="AJ90" s="156">
        <v>4</v>
      </c>
    </row>
    <row r="91" spans="17:36" x14ac:dyDescent="0.15">
      <c r="Q91" s="8" t="s">
        <v>54</v>
      </c>
      <c r="R91">
        <v>1</v>
      </c>
      <c r="S91">
        <v>3</v>
      </c>
      <c r="T91">
        <v>-3</v>
      </c>
      <c r="U91">
        <v>1</v>
      </c>
      <c r="V91">
        <v>-2</v>
      </c>
      <c r="W91">
        <v>-3</v>
      </c>
      <c r="X91">
        <v>1</v>
      </c>
      <c r="Y91">
        <v>2</v>
      </c>
      <c r="Z91">
        <v>1979</v>
      </c>
      <c r="AC91" s="158">
        <v>11449</v>
      </c>
      <c r="AD91" s="161">
        <v>8</v>
      </c>
      <c r="AE91" s="161">
        <v>6</v>
      </c>
      <c r="AF91" s="161">
        <v>30</v>
      </c>
      <c r="AG91" s="161">
        <v>2</v>
      </c>
      <c r="AH91" s="1">
        <v>53</v>
      </c>
      <c r="AI91" s="145" t="s">
        <v>148</v>
      </c>
      <c r="AJ91" s="156">
        <v>5</v>
      </c>
    </row>
    <row r="92" spans="17:36" x14ac:dyDescent="0.15">
      <c r="Q92" s="8" t="s">
        <v>55</v>
      </c>
      <c r="R92">
        <v>2</v>
      </c>
      <c r="S92">
        <v>1</v>
      </c>
      <c r="T92">
        <v>3</v>
      </c>
      <c r="U92">
        <v>2</v>
      </c>
      <c r="V92">
        <v>-3</v>
      </c>
      <c r="W92">
        <v>3</v>
      </c>
      <c r="X92">
        <v>2</v>
      </c>
      <c r="Y92">
        <v>-2</v>
      </c>
      <c r="Z92">
        <v>1980</v>
      </c>
      <c r="AC92" s="158">
        <v>11481</v>
      </c>
      <c r="AD92" s="161">
        <v>8</v>
      </c>
      <c r="AE92" s="161">
        <v>6</v>
      </c>
      <c r="AF92" s="161">
        <v>31</v>
      </c>
      <c r="AG92" s="161">
        <v>1</v>
      </c>
      <c r="AH92" s="1">
        <v>54</v>
      </c>
      <c r="AI92" s="145" t="s">
        <v>149</v>
      </c>
      <c r="AJ92" s="156">
        <v>6</v>
      </c>
    </row>
    <row r="93" spans="17:36" x14ac:dyDescent="0.15">
      <c r="Q93" s="8" t="s">
        <v>56</v>
      </c>
      <c r="R93">
        <v>2</v>
      </c>
      <c r="S93">
        <v>1</v>
      </c>
      <c r="T93">
        <v>-3</v>
      </c>
      <c r="U93">
        <v>3</v>
      </c>
      <c r="V93">
        <v>-3</v>
      </c>
      <c r="W93">
        <v>2</v>
      </c>
      <c r="X93">
        <v>-2</v>
      </c>
      <c r="Y93">
        <v>-3</v>
      </c>
      <c r="Z93">
        <v>1981</v>
      </c>
      <c r="AC93" s="158">
        <v>11512</v>
      </c>
      <c r="AD93" s="161">
        <v>8</v>
      </c>
      <c r="AE93" s="161">
        <v>6</v>
      </c>
      <c r="AF93" s="161">
        <v>32</v>
      </c>
      <c r="AG93" s="161">
        <v>9</v>
      </c>
      <c r="AH93" s="1">
        <v>55</v>
      </c>
      <c r="AI93" s="145" t="s">
        <v>139</v>
      </c>
      <c r="AJ93" s="156">
        <v>7</v>
      </c>
    </row>
    <row r="94" spans="17:36" x14ac:dyDescent="0.15">
      <c r="Q94" s="8" t="s">
        <v>57</v>
      </c>
      <c r="R94">
        <v>-3</v>
      </c>
      <c r="S94">
        <v>-2</v>
      </c>
      <c r="T94">
        <v>1</v>
      </c>
      <c r="U94">
        <v>2</v>
      </c>
      <c r="V94">
        <v>1</v>
      </c>
      <c r="W94">
        <v>-3</v>
      </c>
      <c r="X94">
        <v>3</v>
      </c>
      <c r="Y94">
        <v>1</v>
      </c>
      <c r="Z94">
        <v>1982</v>
      </c>
      <c r="AC94" s="158">
        <v>11543</v>
      </c>
      <c r="AD94" s="161">
        <v>8</v>
      </c>
      <c r="AE94" s="161">
        <v>6</v>
      </c>
      <c r="AF94" s="161">
        <v>33</v>
      </c>
      <c r="AG94" s="161">
        <v>8</v>
      </c>
      <c r="AH94" s="1">
        <v>56</v>
      </c>
      <c r="AI94" s="145" t="s">
        <v>141</v>
      </c>
      <c r="AJ94" s="156">
        <v>8</v>
      </c>
    </row>
    <row r="95" spans="17:36" x14ac:dyDescent="0.15">
      <c r="Q95" s="8" t="s">
        <v>58</v>
      </c>
      <c r="R95">
        <v>1</v>
      </c>
      <c r="S95">
        <v>3</v>
      </c>
      <c r="T95">
        <v>-2</v>
      </c>
      <c r="U95">
        <v>-3</v>
      </c>
      <c r="V95">
        <v>-2</v>
      </c>
      <c r="W95">
        <v>1</v>
      </c>
      <c r="X95">
        <v>2</v>
      </c>
      <c r="Y95">
        <v>-2</v>
      </c>
      <c r="Z95">
        <v>1983</v>
      </c>
      <c r="AC95" s="158">
        <v>11575</v>
      </c>
      <c r="AD95" s="161">
        <v>8</v>
      </c>
      <c r="AE95" s="161">
        <v>6</v>
      </c>
      <c r="AF95" s="161">
        <v>34</v>
      </c>
      <c r="AG95" s="161">
        <v>7</v>
      </c>
      <c r="AH95" s="1">
        <v>57</v>
      </c>
      <c r="AI95" s="145" t="s">
        <v>142</v>
      </c>
      <c r="AJ95" s="156">
        <v>9</v>
      </c>
    </row>
    <row r="96" spans="17:36" x14ac:dyDescent="0.15">
      <c r="Q96" s="8" t="s">
        <v>59</v>
      </c>
      <c r="R96">
        <v>1</v>
      </c>
      <c r="S96">
        <v>3</v>
      </c>
      <c r="T96">
        <v>-2</v>
      </c>
      <c r="U96">
        <v>-3</v>
      </c>
      <c r="V96">
        <v>-2</v>
      </c>
      <c r="W96">
        <v>1</v>
      </c>
      <c r="X96">
        <v>2</v>
      </c>
      <c r="Y96">
        <v>-2</v>
      </c>
      <c r="Z96">
        <v>1984</v>
      </c>
      <c r="AC96" s="158">
        <v>11605</v>
      </c>
      <c r="AD96" s="161">
        <v>8</v>
      </c>
      <c r="AE96" s="161">
        <v>6</v>
      </c>
      <c r="AF96" s="161">
        <v>35</v>
      </c>
      <c r="AG96" s="161">
        <v>6</v>
      </c>
      <c r="AH96" s="1">
        <v>58</v>
      </c>
      <c r="AI96" s="145" t="s">
        <v>143</v>
      </c>
      <c r="AJ96" s="156">
        <v>10</v>
      </c>
    </row>
    <row r="97" spans="17:37" x14ac:dyDescent="0.15">
      <c r="Q97" s="8" t="s">
        <v>60</v>
      </c>
      <c r="R97">
        <v>-3</v>
      </c>
      <c r="S97">
        <v>-2</v>
      </c>
      <c r="T97">
        <v>1</v>
      </c>
      <c r="U97">
        <v>2</v>
      </c>
      <c r="V97">
        <v>1</v>
      </c>
      <c r="W97">
        <v>-3</v>
      </c>
      <c r="X97">
        <v>3</v>
      </c>
      <c r="Y97">
        <v>1</v>
      </c>
      <c r="Z97">
        <v>1985</v>
      </c>
      <c r="AC97" s="158">
        <v>11635</v>
      </c>
      <c r="AD97" s="161">
        <v>8</v>
      </c>
      <c r="AE97" s="161">
        <v>6</v>
      </c>
      <c r="AF97" s="161">
        <v>36</v>
      </c>
      <c r="AG97" s="161">
        <v>5</v>
      </c>
      <c r="AH97" s="1">
        <v>59</v>
      </c>
      <c r="AI97" s="145" t="s">
        <v>144</v>
      </c>
      <c r="AJ97" s="156">
        <v>11</v>
      </c>
    </row>
    <row r="98" spans="17:37" x14ac:dyDescent="0.15">
      <c r="Q98" s="8" t="s">
        <v>61</v>
      </c>
      <c r="R98">
        <v>-2</v>
      </c>
      <c r="S98">
        <v>2</v>
      </c>
      <c r="T98">
        <v>3</v>
      </c>
      <c r="U98">
        <v>1</v>
      </c>
      <c r="V98">
        <v>3</v>
      </c>
      <c r="W98">
        <v>-2</v>
      </c>
      <c r="X98">
        <v>-3</v>
      </c>
      <c r="Y98">
        <v>3</v>
      </c>
      <c r="Z98">
        <v>1986</v>
      </c>
      <c r="AB98">
        <v>3</v>
      </c>
      <c r="AC98" s="158">
        <v>11665</v>
      </c>
      <c r="AD98" s="161">
        <v>8</v>
      </c>
      <c r="AE98" s="161">
        <v>6</v>
      </c>
      <c r="AF98" s="161">
        <v>37</v>
      </c>
      <c r="AG98" s="161">
        <v>4</v>
      </c>
      <c r="AH98" s="1">
        <v>60</v>
      </c>
      <c r="AI98" s="145" t="s">
        <v>140</v>
      </c>
      <c r="AJ98" s="156">
        <v>12</v>
      </c>
    </row>
    <row r="99" spans="17:37" x14ac:dyDescent="0.15">
      <c r="Q99" s="8" t="s">
        <v>62</v>
      </c>
      <c r="R99">
        <v>-2</v>
      </c>
      <c r="S99">
        <v>2</v>
      </c>
      <c r="T99">
        <v>3</v>
      </c>
      <c r="U99">
        <v>1</v>
      </c>
      <c r="V99">
        <v>3</v>
      </c>
      <c r="W99">
        <v>-2</v>
      </c>
      <c r="X99">
        <v>-3</v>
      </c>
      <c r="Y99">
        <v>3</v>
      </c>
      <c r="Z99">
        <v>1987</v>
      </c>
      <c r="AB99">
        <v>4</v>
      </c>
      <c r="AC99" s="158">
        <v>11694</v>
      </c>
      <c r="AD99" s="161">
        <v>8</v>
      </c>
      <c r="AE99" s="161">
        <v>6</v>
      </c>
      <c r="AF99" s="161">
        <v>38</v>
      </c>
      <c r="AG99" s="161">
        <v>3</v>
      </c>
      <c r="AH99" s="1"/>
    </row>
    <row r="100" spans="17:37" x14ac:dyDescent="0.15">
      <c r="Q100" s="8" t="s">
        <v>63</v>
      </c>
      <c r="R100">
        <v>-3</v>
      </c>
      <c r="S100">
        <v>-2</v>
      </c>
      <c r="T100">
        <v>1</v>
      </c>
      <c r="U100">
        <v>2</v>
      </c>
      <c r="V100">
        <v>1</v>
      </c>
      <c r="W100">
        <v>-3</v>
      </c>
      <c r="X100">
        <v>3</v>
      </c>
      <c r="Y100">
        <v>1</v>
      </c>
      <c r="Z100">
        <v>1988</v>
      </c>
      <c r="AC100" s="158">
        <v>11724</v>
      </c>
      <c r="AD100" s="161">
        <v>9</v>
      </c>
      <c r="AE100" s="161">
        <v>5</v>
      </c>
      <c r="AF100" s="161">
        <v>39</v>
      </c>
      <c r="AG100" s="161">
        <v>2</v>
      </c>
      <c r="AH100" s="1"/>
    </row>
    <row r="101" spans="17:37" x14ac:dyDescent="0.15">
      <c r="Q101" s="8" t="s">
        <v>64</v>
      </c>
      <c r="R101">
        <v>3</v>
      </c>
      <c r="S101">
        <v>-3</v>
      </c>
      <c r="T101">
        <v>2</v>
      </c>
      <c r="U101">
        <v>-2</v>
      </c>
      <c r="V101">
        <v>2</v>
      </c>
      <c r="W101">
        <v>3</v>
      </c>
      <c r="X101">
        <v>1</v>
      </c>
      <c r="Y101">
        <v>2</v>
      </c>
      <c r="Z101">
        <v>1989</v>
      </c>
      <c r="AC101" s="158">
        <v>11754</v>
      </c>
      <c r="AD101" s="161">
        <v>9</v>
      </c>
      <c r="AE101" s="161">
        <v>5</v>
      </c>
      <c r="AF101" s="161">
        <v>40</v>
      </c>
      <c r="AG101" s="161">
        <v>1</v>
      </c>
      <c r="AH101" s="1"/>
    </row>
    <row r="102" spans="17:37" x14ac:dyDescent="0.15">
      <c r="Q102" s="8" t="s">
        <v>65</v>
      </c>
      <c r="R102">
        <v>2</v>
      </c>
      <c r="S102">
        <v>-3</v>
      </c>
      <c r="T102">
        <v>3</v>
      </c>
      <c r="U102">
        <v>3</v>
      </c>
      <c r="V102">
        <v>2</v>
      </c>
      <c r="W102">
        <v>-3</v>
      </c>
      <c r="X102">
        <v>1</v>
      </c>
      <c r="Y102">
        <v>-2</v>
      </c>
      <c r="Z102">
        <v>1990</v>
      </c>
      <c r="AC102" s="158">
        <v>11784</v>
      </c>
      <c r="AD102" s="161">
        <v>9</v>
      </c>
      <c r="AE102" s="161">
        <v>5</v>
      </c>
      <c r="AF102" s="161">
        <v>41</v>
      </c>
      <c r="AG102" s="161">
        <v>9</v>
      </c>
      <c r="AH102" s="1"/>
    </row>
    <row r="103" spans="17:37" x14ac:dyDescent="0.15">
      <c r="Q103" s="8" t="s">
        <v>66</v>
      </c>
      <c r="R103">
        <v>-3</v>
      </c>
      <c r="S103">
        <v>1</v>
      </c>
      <c r="T103">
        <v>2</v>
      </c>
      <c r="U103">
        <v>2</v>
      </c>
      <c r="V103">
        <v>-3</v>
      </c>
      <c r="W103">
        <v>1</v>
      </c>
      <c r="X103">
        <v>-2</v>
      </c>
      <c r="Y103">
        <v>3</v>
      </c>
      <c r="Z103">
        <v>1991</v>
      </c>
      <c r="AC103" s="158">
        <v>11815</v>
      </c>
      <c r="AD103" s="161">
        <v>9</v>
      </c>
      <c r="AE103" s="161">
        <v>5</v>
      </c>
      <c r="AF103" s="161">
        <v>42</v>
      </c>
      <c r="AG103" s="161">
        <v>8</v>
      </c>
      <c r="AH103" s="1"/>
    </row>
    <row r="104" spans="17:37" x14ac:dyDescent="0.15">
      <c r="Q104" s="8" t="s">
        <v>67</v>
      </c>
      <c r="R104">
        <v>1</v>
      </c>
      <c r="S104">
        <v>-2</v>
      </c>
      <c r="T104">
        <v>-3</v>
      </c>
      <c r="U104">
        <v>-3</v>
      </c>
      <c r="V104">
        <v>1</v>
      </c>
      <c r="W104">
        <v>-2</v>
      </c>
      <c r="X104">
        <v>3</v>
      </c>
      <c r="Y104">
        <v>2</v>
      </c>
      <c r="Z104">
        <v>1992</v>
      </c>
      <c r="AC104" s="158">
        <v>11846</v>
      </c>
      <c r="AD104" s="161">
        <v>9</v>
      </c>
      <c r="AE104" s="161">
        <v>5</v>
      </c>
      <c r="AF104" s="161">
        <v>43</v>
      </c>
      <c r="AG104" s="161">
        <v>7</v>
      </c>
      <c r="AH104" s="1"/>
    </row>
    <row r="105" spans="17:37" x14ac:dyDescent="0.15">
      <c r="Q105" s="8" t="s">
        <v>68</v>
      </c>
      <c r="R105">
        <v>1</v>
      </c>
      <c r="S105">
        <v>-2</v>
      </c>
      <c r="T105">
        <v>-3</v>
      </c>
      <c r="U105">
        <v>-3</v>
      </c>
      <c r="V105">
        <v>1</v>
      </c>
      <c r="W105">
        <v>-2</v>
      </c>
      <c r="X105">
        <v>3</v>
      </c>
      <c r="Y105">
        <v>2</v>
      </c>
      <c r="Z105">
        <v>1993</v>
      </c>
      <c r="AC105" s="158">
        <v>11877</v>
      </c>
      <c r="AD105" s="161">
        <v>9</v>
      </c>
      <c r="AE105" s="161">
        <v>5</v>
      </c>
      <c r="AF105" s="161">
        <v>44</v>
      </c>
      <c r="AG105" s="161">
        <v>6</v>
      </c>
      <c r="AH105" s="1"/>
    </row>
    <row r="106" spans="17:37" x14ac:dyDescent="0.15">
      <c r="Q106" s="8" t="s">
        <v>69</v>
      </c>
      <c r="R106">
        <v>-3</v>
      </c>
      <c r="S106">
        <v>1</v>
      </c>
      <c r="T106">
        <v>2</v>
      </c>
      <c r="U106">
        <v>2</v>
      </c>
      <c r="V106">
        <v>-3</v>
      </c>
      <c r="W106">
        <v>1</v>
      </c>
      <c r="X106">
        <v>-2</v>
      </c>
      <c r="Y106">
        <v>3</v>
      </c>
      <c r="Z106">
        <v>1994</v>
      </c>
      <c r="AC106" s="158">
        <v>11909</v>
      </c>
      <c r="AD106" s="161">
        <v>9</v>
      </c>
      <c r="AE106" s="161">
        <v>5</v>
      </c>
      <c r="AF106" s="161">
        <v>45</v>
      </c>
      <c r="AG106" s="161">
        <v>5</v>
      </c>
      <c r="AH106" s="1"/>
    </row>
    <row r="107" spans="17:37" x14ac:dyDescent="0.15">
      <c r="Q107" s="8" t="s">
        <v>70</v>
      </c>
      <c r="R107">
        <v>-2</v>
      </c>
      <c r="S107">
        <v>3</v>
      </c>
      <c r="T107">
        <v>1</v>
      </c>
      <c r="U107">
        <v>1</v>
      </c>
      <c r="V107">
        <v>-2</v>
      </c>
      <c r="W107">
        <v>3</v>
      </c>
      <c r="X107">
        <v>2</v>
      </c>
      <c r="Y107">
        <v>-3</v>
      </c>
      <c r="Z107">
        <v>1995</v>
      </c>
      <c r="AC107" s="158">
        <v>11940</v>
      </c>
      <c r="AD107" s="161">
        <v>9</v>
      </c>
      <c r="AE107" s="161">
        <v>5</v>
      </c>
      <c r="AF107" s="161">
        <v>46</v>
      </c>
      <c r="AG107" s="161">
        <v>4</v>
      </c>
      <c r="AH107" s="1"/>
    </row>
    <row r="108" spans="17:37" x14ac:dyDescent="0.15">
      <c r="Q108" s="8" t="s">
        <v>71</v>
      </c>
      <c r="R108">
        <v>-2</v>
      </c>
      <c r="S108">
        <v>3</v>
      </c>
      <c r="T108">
        <v>1</v>
      </c>
      <c r="U108">
        <v>1</v>
      </c>
      <c r="V108">
        <v>-2</v>
      </c>
      <c r="W108">
        <v>3</v>
      </c>
      <c r="X108">
        <v>2</v>
      </c>
      <c r="Y108">
        <v>-3</v>
      </c>
      <c r="Z108">
        <v>1996</v>
      </c>
      <c r="AC108" s="158">
        <v>11970</v>
      </c>
      <c r="AD108" s="161">
        <v>9</v>
      </c>
      <c r="AE108" s="161">
        <v>5</v>
      </c>
      <c r="AF108" s="161">
        <v>47</v>
      </c>
      <c r="AG108" s="161">
        <v>3</v>
      </c>
      <c r="AH108" s="1"/>
    </row>
    <row r="109" spans="17:37" x14ac:dyDescent="0.15">
      <c r="Q109" s="8" t="s">
        <v>72</v>
      </c>
      <c r="R109">
        <v>-3</v>
      </c>
      <c r="S109">
        <v>1</v>
      </c>
      <c r="T109">
        <v>2</v>
      </c>
      <c r="U109">
        <v>2</v>
      </c>
      <c r="V109">
        <v>-3</v>
      </c>
      <c r="W109">
        <v>1</v>
      </c>
      <c r="X109">
        <v>-2</v>
      </c>
      <c r="Y109">
        <v>3</v>
      </c>
      <c r="Z109">
        <v>1997</v>
      </c>
      <c r="AC109" s="158">
        <v>12000</v>
      </c>
      <c r="AD109" s="161">
        <v>9</v>
      </c>
      <c r="AE109" s="161">
        <v>5</v>
      </c>
      <c r="AF109" s="161">
        <v>48</v>
      </c>
      <c r="AG109" s="161">
        <v>2</v>
      </c>
      <c r="AH109" s="1"/>
    </row>
    <row r="110" spans="17:37" x14ac:dyDescent="0.15">
      <c r="Q110" s="8" t="s">
        <v>192</v>
      </c>
      <c r="R110">
        <v>3</v>
      </c>
      <c r="S110">
        <v>2</v>
      </c>
      <c r="T110">
        <v>-2</v>
      </c>
      <c r="U110">
        <v>-2</v>
      </c>
      <c r="V110">
        <v>3</v>
      </c>
      <c r="W110">
        <v>2</v>
      </c>
      <c r="X110">
        <v>-3</v>
      </c>
      <c r="Y110">
        <v>1</v>
      </c>
      <c r="Z110">
        <v>1998</v>
      </c>
      <c r="AC110" s="158">
        <v>12030</v>
      </c>
      <c r="AD110" s="161">
        <v>9</v>
      </c>
      <c r="AE110" s="161">
        <v>5</v>
      </c>
      <c r="AF110" s="161">
        <v>49</v>
      </c>
      <c r="AG110" s="161">
        <v>1</v>
      </c>
      <c r="AH110" s="1"/>
      <c r="AK110" s="145"/>
    </row>
    <row r="111" spans="17:37" x14ac:dyDescent="0.15">
      <c r="Q111" s="8" t="s">
        <v>74</v>
      </c>
      <c r="R111">
        <v>-3</v>
      </c>
      <c r="S111">
        <v>2</v>
      </c>
      <c r="T111">
        <v>3</v>
      </c>
      <c r="U111">
        <v>-3</v>
      </c>
      <c r="V111">
        <v>2</v>
      </c>
      <c r="W111">
        <v>3</v>
      </c>
      <c r="X111">
        <v>-3</v>
      </c>
      <c r="Y111">
        <v>1</v>
      </c>
      <c r="Z111">
        <v>1999</v>
      </c>
      <c r="AC111" s="158">
        <v>12060</v>
      </c>
      <c r="AD111" s="161">
        <v>9</v>
      </c>
      <c r="AE111" s="161">
        <v>5</v>
      </c>
      <c r="AF111" s="161">
        <v>50</v>
      </c>
      <c r="AG111" s="161">
        <v>9</v>
      </c>
      <c r="AH111" s="1"/>
      <c r="AK111" s="145"/>
    </row>
    <row r="112" spans="17:37" x14ac:dyDescent="0.15">
      <c r="Q112" s="8" t="s">
        <v>75</v>
      </c>
      <c r="R112">
        <v>1</v>
      </c>
      <c r="S112">
        <v>-3</v>
      </c>
      <c r="T112">
        <v>2</v>
      </c>
      <c r="U112">
        <v>1</v>
      </c>
      <c r="V112">
        <v>-3</v>
      </c>
      <c r="W112">
        <v>2</v>
      </c>
      <c r="X112">
        <v>1</v>
      </c>
      <c r="Y112">
        <v>-2</v>
      </c>
      <c r="Z112">
        <v>2000</v>
      </c>
      <c r="AC112" s="158">
        <v>12089</v>
      </c>
      <c r="AD112" s="161">
        <v>10</v>
      </c>
      <c r="AE112" s="161">
        <v>4</v>
      </c>
      <c r="AF112" s="161">
        <v>51</v>
      </c>
      <c r="AG112" s="161">
        <v>8</v>
      </c>
      <c r="AH112" s="1"/>
      <c r="AK112" s="145"/>
    </row>
    <row r="113" spans="11:37" x14ac:dyDescent="0.15">
      <c r="Q113" s="8" t="s">
        <v>76</v>
      </c>
      <c r="R113">
        <v>-2</v>
      </c>
      <c r="S113">
        <v>1</v>
      </c>
      <c r="T113">
        <v>-3</v>
      </c>
      <c r="U113">
        <v>-2</v>
      </c>
      <c r="V113">
        <v>1</v>
      </c>
      <c r="W113">
        <v>-3</v>
      </c>
      <c r="X113">
        <v>-2</v>
      </c>
      <c r="Y113">
        <v>3</v>
      </c>
      <c r="Z113">
        <v>2001</v>
      </c>
      <c r="AC113" s="158">
        <v>12119</v>
      </c>
      <c r="AD113" s="161">
        <v>10</v>
      </c>
      <c r="AE113" s="161">
        <v>4</v>
      </c>
      <c r="AF113" s="161">
        <v>52</v>
      </c>
      <c r="AG113" s="161">
        <v>7</v>
      </c>
      <c r="AH113" s="1"/>
      <c r="AK113" s="145"/>
    </row>
    <row r="114" spans="11:37" x14ac:dyDescent="0.15">
      <c r="Q114" s="8" t="s">
        <v>77</v>
      </c>
      <c r="R114">
        <v>-2</v>
      </c>
      <c r="S114">
        <v>1</v>
      </c>
      <c r="T114">
        <v>-3</v>
      </c>
      <c r="U114">
        <v>-2</v>
      </c>
      <c r="V114">
        <v>1</v>
      </c>
      <c r="W114">
        <v>-3</v>
      </c>
      <c r="X114">
        <v>-2</v>
      </c>
      <c r="Y114">
        <v>3</v>
      </c>
      <c r="Z114">
        <v>2002</v>
      </c>
      <c r="AC114" s="158">
        <v>12149</v>
      </c>
      <c r="AD114" s="161">
        <v>10</v>
      </c>
      <c r="AE114" s="161">
        <v>4</v>
      </c>
      <c r="AF114" s="161">
        <v>53</v>
      </c>
      <c r="AG114" s="161">
        <v>6</v>
      </c>
      <c r="AH114" s="1"/>
      <c r="AK114" s="145"/>
    </row>
    <row r="115" spans="11:37" x14ac:dyDescent="0.15">
      <c r="Q115" s="8" t="s">
        <v>78</v>
      </c>
      <c r="R115">
        <v>1</v>
      </c>
      <c r="S115">
        <v>-3</v>
      </c>
      <c r="T115">
        <v>2</v>
      </c>
      <c r="U115">
        <v>1</v>
      </c>
      <c r="V115">
        <v>-3</v>
      </c>
      <c r="W115">
        <v>2</v>
      </c>
      <c r="X115">
        <v>1</v>
      </c>
      <c r="Y115">
        <v>-2</v>
      </c>
      <c r="Z115">
        <v>2003</v>
      </c>
      <c r="AC115" s="158">
        <v>12180</v>
      </c>
      <c r="AD115" s="161">
        <v>10</v>
      </c>
      <c r="AE115" s="161">
        <v>4</v>
      </c>
      <c r="AF115" s="161">
        <v>54</v>
      </c>
      <c r="AG115" s="161">
        <v>5</v>
      </c>
      <c r="AH115" s="1"/>
    </row>
    <row r="116" spans="11:37" x14ac:dyDescent="0.15">
      <c r="Q116" s="8" t="s">
        <v>79</v>
      </c>
      <c r="R116">
        <v>3</v>
      </c>
      <c r="S116">
        <v>-2</v>
      </c>
      <c r="T116">
        <v>1</v>
      </c>
      <c r="U116">
        <v>3</v>
      </c>
      <c r="V116">
        <v>-2</v>
      </c>
      <c r="W116">
        <v>1</v>
      </c>
      <c r="X116">
        <v>3</v>
      </c>
      <c r="Y116">
        <v>2</v>
      </c>
      <c r="Z116">
        <v>2004</v>
      </c>
      <c r="AC116" s="158">
        <v>12211</v>
      </c>
      <c r="AD116" s="161">
        <v>10</v>
      </c>
      <c r="AE116" s="161">
        <v>4</v>
      </c>
      <c r="AF116" s="161">
        <v>55</v>
      </c>
      <c r="AG116" s="161">
        <v>4</v>
      </c>
      <c r="AH116" s="1"/>
    </row>
    <row r="117" spans="11:37" x14ac:dyDescent="0.15">
      <c r="Q117" s="8" t="s">
        <v>80</v>
      </c>
      <c r="R117">
        <v>3</v>
      </c>
      <c r="S117">
        <v>-2</v>
      </c>
      <c r="T117">
        <v>1</v>
      </c>
      <c r="U117">
        <v>3</v>
      </c>
      <c r="V117">
        <v>-2</v>
      </c>
      <c r="W117">
        <v>1</v>
      </c>
      <c r="X117">
        <v>3</v>
      </c>
      <c r="Y117">
        <v>2</v>
      </c>
      <c r="Z117">
        <v>2005</v>
      </c>
      <c r="AC117" s="158">
        <v>12242</v>
      </c>
      <c r="AD117" s="161">
        <v>10</v>
      </c>
      <c r="AE117" s="161">
        <v>4</v>
      </c>
      <c r="AF117" s="161">
        <v>56</v>
      </c>
      <c r="AG117" s="161">
        <v>3</v>
      </c>
      <c r="AH117" s="1"/>
    </row>
    <row r="118" spans="11:37" x14ac:dyDescent="0.15">
      <c r="Q118" s="8" t="s">
        <v>81</v>
      </c>
      <c r="R118">
        <v>1</v>
      </c>
      <c r="S118">
        <v>-3</v>
      </c>
      <c r="T118">
        <v>2</v>
      </c>
      <c r="U118">
        <v>1</v>
      </c>
      <c r="V118">
        <v>-3</v>
      </c>
      <c r="W118">
        <v>2</v>
      </c>
      <c r="X118">
        <v>1</v>
      </c>
      <c r="Y118">
        <v>-2</v>
      </c>
      <c r="Z118">
        <v>2006</v>
      </c>
      <c r="AC118" s="158">
        <v>12274</v>
      </c>
      <c r="AD118" s="161">
        <v>10</v>
      </c>
      <c r="AE118" s="161">
        <v>4</v>
      </c>
      <c r="AF118" s="161">
        <v>57</v>
      </c>
      <c r="AG118" s="161">
        <v>2</v>
      </c>
      <c r="AH118" s="1"/>
    </row>
    <row r="119" spans="11:37" x14ac:dyDescent="0.15">
      <c r="K119" s="8" t="str">
        <f>G119&amp;H119</f>
        <v/>
      </c>
      <c r="P119" s="8"/>
      <c r="Q119" s="8" t="s">
        <v>73</v>
      </c>
      <c r="R119">
        <v>2</v>
      </c>
      <c r="S119">
        <v>3</v>
      </c>
      <c r="T119">
        <v>-2</v>
      </c>
      <c r="U119">
        <v>2</v>
      </c>
      <c r="V119">
        <v>3</v>
      </c>
      <c r="W119">
        <v>-2</v>
      </c>
      <c r="X119">
        <v>2</v>
      </c>
      <c r="Y119">
        <v>-3</v>
      </c>
      <c r="Z119">
        <v>2007</v>
      </c>
      <c r="AC119" s="158">
        <v>12305</v>
      </c>
      <c r="AD119" s="161">
        <v>10</v>
      </c>
      <c r="AE119" s="161">
        <v>4</v>
      </c>
      <c r="AF119" s="161">
        <v>58</v>
      </c>
      <c r="AG119" s="161">
        <v>1</v>
      </c>
      <c r="AH119" s="1"/>
    </row>
    <row r="120" spans="11:37" x14ac:dyDescent="0.15">
      <c r="Q120" s="8"/>
      <c r="Z120">
        <v>2008</v>
      </c>
      <c r="AC120" s="158">
        <v>12336</v>
      </c>
      <c r="AD120" s="161">
        <v>10</v>
      </c>
      <c r="AE120" s="161">
        <v>4</v>
      </c>
      <c r="AF120" s="161">
        <v>59</v>
      </c>
      <c r="AG120" s="161">
        <v>9</v>
      </c>
      <c r="AH120" s="1"/>
    </row>
    <row r="121" spans="11:37" x14ac:dyDescent="0.15">
      <c r="Q121" s="8"/>
      <c r="Z121">
        <v>2009</v>
      </c>
      <c r="AC121" s="158">
        <v>12366</v>
      </c>
      <c r="AD121" s="161">
        <v>10</v>
      </c>
      <c r="AE121" s="161">
        <v>4</v>
      </c>
      <c r="AF121" s="161">
        <v>60</v>
      </c>
      <c r="AG121" s="161">
        <v>8</v>
      </c>
      <c r="AH121" s="1"/>
    </row>
    <row r="122" spans="11:37" x14ac:dyDescent="0.15">
      <c r="Q122" s="8"/>
      <c r="Z122">
        <v>2010</v>
      </c>
      <c r="AC122" s="158">
        <v>12395</v>
      </c>
      <c r="AD122" s="161">
        <v>10</v>
      </c>
      <c r="AE122" s="161">
        <v>4</v>
      </c>
      <c r="AF122" s="161">
        <v>1</v>
      </c>
      <c r="AG122" s="161">
        <v>7</v>
      </c>
      <c r="AH122" s="1"/>
    </row>
    <row r="123" spans="11:37" x14ac:dyDescent="0.15">
      <c r="Q123" s="8"/>
      <c r="Z123">
        <v>2011</v>
      </c>
      <c r="AC123" s="158">
        <v>12425</v>
      </c>
      <c r="AD123" s="161">
        <v>10</v>
      </c>
      <c r="AE123" s="161">
        <v>4</v>
      </c>
      <c r="AF123" s="161">
        <v>2</v>
      </c>
      <c r="AG123" s="161">
        <v>6</v>
      </c>
      <c r="AH123" s="1"/>
    </row>
    <row r="124" spans="11:37" x14ac:dyDescent="0.15">
      <c r="Q124" s="8"/>
      <c r="Z124">
        <v>2012</v>
      </c>
      <c r="AC124" s="158">
        <v>12454</v>
      </c>
      <c r="AD124" s="161">
        <v>11</v>
      </c>
      <c r="AE124" s="161">
        <v>3</v>
      </c>
      <c r="AF124" s="161">
        <v>3</v>
      </c>
      <c r="AG124" s="161">
        <v>5</v>
      </c>
      <c r="AH124" s="1"/>
    </row>
    <row r="125" spans="11:37" x14ac:dyDescent="0.15">
      <c r="Q125" s="8"/>
      <c r="Z125">
        <v>2013</v>
      </c>
      <c r="AC125" s="158">
        <v>12484</v>
      </c>
      <c r="AD125" s="161">
        <v>11</v>
      </c>
      <c r="AE125" s="161">
        <v>3</v>
      </c>
      <c r="AF125" s="161">
        <v>4</v>
      </c>
      <c r="AG125" s="161">
        <v>4</v>
      </c>
      <c r="AH125" s="1"/>
    </row>
    <row r="126" spans="11:37" x14ac:dyDescent="0.15">
      <c r="Q126" s="8"/>
      <c r="Z126">
        <v>2014</v>
      </c>
      <c r="AC126" s="158">
        <v>12514</v>
      </c>
      <c r="AD126" s="161">
        <v>11</v>
      </c>
      <c r="AE126" s="161">
        <v>3</v>
      </c>
      <c r="AF126" s="161">
        <v>5</v>
      </c>
      <c r="AG126" s="161">
        <v>3</v>
      </c>
      <c r="AH126" s="1"/>
    </row>
    <row r="127" spans="11:37" x14ac:dyDescent="0.15">
      <c r="Q127" s="8"/>
      <c r="Z127">
        <v>2015</v>
      </c>
      <c r="AC127" s="158">
        <v>12545</v>
      </c>
      <c r="AD127" s="161">
        <v>11</v>
      </c>
      <c r="AE127" s="161">
        <v>3</v>
      </c>
      <c r="AF127" s="161">
        <v>6</v>
      </c>
      <c r="AG127" s="161">
        <v>2</v>
      </c>
      <c r="AH127" s="1"/>
    </row>
    <row r="128" spans="11:37" x14ac:dyDescent="0.15">
      <c r="Q128" s="8"/>
      <c r="Z128">
        <v>2016</v>
      </c>
      <c r="AB128">
        <v>4</v>
      </c>
      <c r="AC128" s="158">
        <v>12576</v>
      </c>
      <c r="AD128" s="161">
        <v>11</v>
      </c>
      <c r="AE128" s="161">
        <v>3</v>
      </c>
      <c r="AF128" s="161">
        <v>7</v>
      </c>
      <c r="AG128" s="161">
        <v>1</v>
      </c>
      <c r="AH128" s="1"/>
    </row>
    <row r="129" spans="26:34" x14ac:dyDescent="0.15">
      <c r="Z129">
        <v>2017</v>
      </c>
      <c r="AB129">
        <v>5</v>
      </c>
      <c r="AC129" s="158">
        <v>12608</v>
      </c>
      <c r="AD129" s="161">
        <v>11</v>
      </c>
      <c r="AE129" s="161">
        <v>3</v>
      </c>
      <c r="AF129" s="161">
        <v>8</v>
      </c>
      <c r="AG129" s="161">
        <v>9</v>
      </c>
      <c r="AH129" s="1"/>
    </row>
    <row r="130" spans="26:34" x14ac:dyDescent="0.15">
      <c r="Z130">
        <v>2018</v>
      </c>
      <c r="AC130" s="158">
        <v>12639</v>
      </c>
      <c r="AD130" s="161">
        <v>11</v>
      </c>
      <c r="AE130" s="161">
        <v>3</v>
      </c>
      <c r="AF130" s="161">
        <v>9</v>
      </c>
      <c r="AG130" s="161">
        <v>8</v>
      </c>
      <c r="AH130" s="1"/>
    </row>
    <row r="131" spans="26:34" x14ac:dyDescent="0.15">
      <c r="Z131">
        <v>2019</v>
      </c>
      <c r="AC131" s="158">
        <v>12670</v>
      </c>
      <c r="AD131" s="161">
        <v>11</v>
      </c>
      <c r="AE131" s="161">
        <v>3</v>
      </c>
      <c r="AF131" s="161">
        <v>10</v>
      </c>
      <c r="AG131" s="161">
        <v>7</v>
      </c>
      <c r="AH131" s="1"/>
    </row>
    <row r="132" spans="26:34" x14ac:dyDescent="0.15">
      <c r="Z132">
        <v>2020</v>
      </c>
      <c r="AC132" s="158">
        <v>12701</v>
      </c>
      <c r="AD132" s="161">
        <v>11</v>
      </c>
      <c r="AE132" s="161">
        <v>3</v>
      </c>
      <c r="AF132" s="161">
        <v>11</v>
      </c>
      <c r="AG132" s="161">
        <v>6</v>
      </c>
      <c r="AH132" s="1"/>
    </row>
    <row r="133" spans="26:34" x14ac:dyDescent="0.15">
      <c r="Z133">
        <v>2021</v>
      </c>
      <c r="AC133" s="158">
        <v>12731</v>
      </c>
      <c r="AD133" s="161">
        <v>11</v>
      </c>
      <c r="AE133" s="161">
        <v>3</v>
      </c>
      <c r="AF133" s="161">
        <v>12</v>
      </c>
      <c r="AG133" s="161">
        <v>5</v>
      </c>
      <c r="AH133" s="1"/>
    </row>
    <row r="134" spans="26:34" x14ac:dyDescent="0.15">
      <c r="Z134">
        <v>2022</v>
      </c>
      <c r="AC134" s="158">
        <v>12761</v>
      </c>
      <c r="AD134" s="161">
        <v>11</v>
      </c>
      <c r="AE134" s="161">
        <v>3</v>
      </c>
      <c r="AF134" s="161">
        <v>13</v>
      </c>
      <c r="AG134" s="161">
        <v>4</v>
      </c>
      <c r="AH134" s="1"/>
    </row>
    <row r="135" spans="26:34" x14ac:dyDescent="0.15">
      <c r="Z135">
        <v>2023</v>
      </c>
      <c r="AC135" s="158">
        <v>12790</v>
      </c>
      <c r="AD135" s="161">
        <v>11</v>
      </c>
      <c r="AE135" s="161">
        <v>3</v>
      </c>
      <c r="AF135" s="161">
        <v>14</v>
      </c>
      <c r="AG135" s="161">
        <v>3</v>
      </c>
      <c r="AH135" s="1"/>
    </row>
    <row r="136" spans="26:34" x14ac:dyDescent="0.15">
      <c r="Z136">
        <v>2024</v>
      </c>
      <c r="AC136" s="158">
        <v>12820</v>
      </c>
      <c r="AD136" s="161">
        <v>12</v>
      </c>
      <c r="AE136" s="161">
        <v>2</v>
      </c>
      <c r="AF136" s="161">
        <v>15</v>
      </c>
      <c r="AG136" s="161">
        <v>2</v>
      </c>
      <c r="AH136" s="1"/>
    </row>
    <row r="137" spans="26:34" x14ac:dyDescent="0.15">
      <c r="Z137">
        <v>2025</v>
      </c>
      <c r="AC137" s="158">
        <v>12849</v>
      </c>
      <c r="AD137" s="161">
        <v>12</v>
      </c>
      <c r="AE137" s="161">
        <v>2</v>
      </c>
      <c r="AF137" s="161">
        <v>16</v>
      </c>
      <c r="AG137" s="161">
        <v>1</v>
      </c>
      <c r="AH137" s="1"/>
    </row>
    <row r="138" spans="26:34" x14ac:dyDescent="0.15">
      <c r="Z138">
        <v>2026</v>
      </c>
      <c r="AC138" s="158">
        <v>12880</v>
      </c>
      <c r="AD138" s="161">
        <v>12</v>
      </c>
      <c r="AE138" s="161">
        <v>2</v>
      </c>
      <c r="AF138" s="161">
        <v>17</v>
      </c>
      <c r="AG138" s="161">
        <v>9</v>
      </c>
      <c r="AH138" s="1"/>
    </row>
    <row r="139" spans="26:34" x14ac:dyDescent="0.15">
      <c r="Z139">
        <v>2027</v>
      </c>
      <c r="AC139" s="158">
        <v>12910</v>
      </c>
      <c r="AD139" s="161">
        <v>12</v>
      </c>
      <c r="AE139" s="161">
        <v>2</v>
      </c>
      <c r="AF139" s="161">
        <v>18</v>
      </c>
      <c r="AG139" s="161">
        <v>8</v>
      </c>
      <c r="AH139" s="1"/>
    </row>
    <row r="140" spans="26:34" x14ac:dyDescent="0.15">
      <c r="Z140">
        <v>2028</v>
      </c>
      <c r="AC140" s="158">
        <v>12942</v>
      </c>
      <c r="AD140" s="161">
        <v>12</v>
      </c>
      <c r="AE140" s="161">
        <v>2</v>
      </c>
      <c r="AF140" s="161">
        <v>19</v>
      </c>
      <c r="AG140" s="161">
        <v>7</v>
      </c>
      <c r="AH140" s="1"/>
    </row>
    <row r="141" spans="26:34" x14ac:dyDescent="0.15">
      <c r="Z141">
        <v>2029</v>
      </c>
      <c r="AC141" s="158">
        <v>12973</v>
      </c>
      <c r="AD141" s="161">
        <v>12</v>
      </c>
      <c r="AE141" s="161">
        <v>2</v>
      </c>
      <c r="AF141" s="161">
        <v>20</v>
      </c>
      <c r="AG141" s="161">
        <v>6</v>
      </c>
      <c r="AH141" s="1"/>
    </row>
    <row r="142" spans="26:34" x14ac:dyDescent="0.15">
      <c r="Z142">
        <v>2030</v>
      </c>
      <c r="AC142" s="158">
        <v>13004</v>
      </c>
      <c r="AD142" s="161">
        <v>12</v>
      </c>
      <c r="AE142" s="161">
        <v>2</v>
      </c>
      <c r="AF142" s="161">
        <v>21</v>
      </c>
      <c r="AG142" s="161">
        <v>5</v>
      </c>
      <c r="AH142" s="1"/>
    </row>
    <row r="143" spans="26:34" x14ac:dyDescent="0.15">
      <c r="AC143" s="158">
        <v>13035</v>
      </c>
      <c r="AD143" s="161">
        <v>12</v>
      </c>
      <c r="AE143" s="161">
        <v>2</v>
      </c>
      <c r="AF143" s="161">
        <v>22</v>
      </c>
      <c r="AG143" s="161">
        <v>4</v>
      </c>
      <c r="AH143" s="1"/>
    </row>
    <row r="144" spans="26:34" x14ac:dyDescent="0.15">
      <c r="AC144" s="158">
        <v>13066</v>
      </c>
      <c r="AD144" s="161">
        <v>12</v>
      </c>
      <c r="AE144" s="161">
        <v>2</v>
      </c>
      <c r="AF144" s="161">
        <v>23</v>
      </c>
      <c r="AG144" s="161">
        <v>3</v>
      </c>
      <c r="AH144" s="1"/>
    </row>
    <row r="145" spans="28:34" x14ac:dyDescent="0.15">
      <c r="AC145" s="158">
        <v>13096</v>
      </c>
      <c r="AD145" s="161">
        <v>12</v>
      </c>
      <c r="AE145" s="161">
        <v>2</v>
      </c>
      <c r="AF145" s="161">
        <v>24</v>
      </c>
      <c r="AG145" s="161">
        <v>2</v>
      </c>
      <c r="AH145" s="1"/>
    </row>
    <row r="146" spans="28:34" x14ac:dyDescent="0.15">
      <c r="AC146" s="158">
        <v>13126</v>
      </c>
      <c r="AD146" s="161">
        <v>12</v>
      </c>
      <c r="AE146" s="161">
        <v>2</v>
      </c>
      <c r="AF146" s="161">
        <v>25</v>
      </c>
      <c r="AG146" s="161">
        <v>1</v>
      </c>
      <c r="AH146" s="1"/>
    </row>
    <row r="147" spans="28:34" x14ac:dyDescent="0.15">
      <c r="AC147" s="158">
        <v>13155</v>
      </c>
      <c r="AD147" s="161">
        <v>12</v>
      </c>
      <c r="AE147" s="161">
        <v>2</v>
      </c>
      <c r="AF147" s="161">
        <v>26</v>
      </c>
      <c r="AG147" s="161">
        <v>9</v>
      </c>
      <c r="AH147" s="1"/>
    </row>
    <row r="148" spans="28:34" x14ac:dyDescent="0.15">
      <c r="AC148" s="158">
        <v>13185</v>
      </c>
      <c r="AD148" s="161">
        <v>13</v>
      </c>
      <c r="AE148" s="161">
        <v>1</v>
      </c>
      <c r="AF148" s="161">
        <v>27</v>
      </c>
      <c r="AG148" s="161">
        <v>8</v>
      </c>
      <c r="AH148" s="1"/>
    </row>
    <row r="149" spans="28:34" x14ac:dyDescent="0.15">
      <c r="AC149" s="158">
        <v>13215</v>
      </c>
      <c r="AD149" s="161">
        <v>13</v>
      </c>
      <c r="AE149" s="161">
        <v>1</v>
      </c>
      <c r="AF149" s="161">
        <v>28</v>
      </c>
      <c r="AG149" s="161">
        <v>7</v>
      </c>
      <c r="AH149" s="1"/>
    </row>
    <row r="150" spans="28:34" x14ac:dyDescent="0.15">
      <c r="AC150" s="158">
        <v>13245</v>
      </c>
      <c r="AD150" s="161">
        <v>13</v>
      </c>
      <c r="AE150" s="161">
        <v>1</v>
      </c>
      <c r="AF150" s="161">
        <v>29</v>
      </c>
      <c r="AG150" s="161">
        <v>6</v>
      </c>
      <c r="AH150" s="1"/>
    </row>
    <row r="151" spans="28:34" x14ac:dyDescent="0.15">
      <c r="AC151" s="158">
        <v>13276</v>
      </c>
      <c r="AD151" s="161">
        <v>13</v>
      </c>
      <c r="AE151" s="161">
        <v>1</v>
      </c>
      <c r="AF151" s="161">
        <v>30</v>
      </c>
      <c r="AG151" s="161">
        <v>5</v>
      </c>
      <c r="AH151" s="1"/>
    </row>
    <row r="152" spans="28:34" x14ac:dyDescent="0.15">
      <c r="AC152" s="158">
        <v>13307</v>
      </c>
      <c r="AD152" s="161">
        <v>13</v>
      </c>
      <c r="AE152" s="161">
        <v>1</v>
      </c>
      <c r="AF152" s="161">
        <v>31</v>
      </c>
      <c r="AG152" s="161">
        <v>4</v>
      </c>
      <c r="AH152" s="1"/>
    </row>
    <row r="153" spans="28:34" x14ac:dyDescent="0.15">
      <c r="AC153" s="158">
        <v>13338</v>
      </c>
      <c r="AD153" s="161">
        <v>13</v>
      </c>
      <c r="AE153" s="161">
        <v>1</v>
      </c>
      <c r="AF153" s="161">
        <v>32</v>
      </c>
      <c r="AG153" s="161">
        <v>3</v>
      </c>
      <c r="AH153" s="1"/>
    </row>
    <row r="154" spans="28:34" x14ac:dyDescent="0.15">
      <c r="AC154" s="158">
        <v>13370</v>
      </c>
      <c r="AD154" s="161">
        <v>13</v>
      </c>
      <c r="AE154" s="161">
        <v>1</v>
      </c>
      <c r="AF154" s="161">
        <v>33</v>
      </c>
      <c r="AG154" s="161">
        <v>2</v>
      </c>
      <c r="AH154" s="1"/>
    </row>
    <row r="155" spans="28:34" x14ac:dyDescent="0.15">
      <c r="AC155" s="158">
        <v>13401</v>
      </c>
      <c r="AD155" s="161">
        <v>13</v>
      </c>
      <c r="AE155" s="161">
        <v>1</v>
      </c>
      <c r="AF155" s="161">
        <v>34</v>
      </c>
      <c r="AG155" s="161">
        <v>1</v>
      </c>
      <c r="AH155" s="1"/>
    </row>
    <row r="156" spans="28:34" x14ac:dyDescent="0.15">
      <c r="AC156" s="158">
        <v>13431</v>
      </c>
      <c r="AD156" s="161">
        <v>13</v>
      </c>
      <c r="AE156" s="161">
        <v>1</v>
      </c>
      <c r="AF156" s="161">
        <v>35</v>
      </c>
      <c r="AG156" s="161">
        <v>9</v>
      </c>
      <c r="AH156" s="1"/>
    </row>
    <row r="157" spans="28:34" x14ac:dyDescent="0.15">
      <c r="AC157" s="158">
        <v>13461</v>
      </c>
      <c r="AD157" s="161">
        <v>13</v>
      </c>
      <c r="AE157" s="161">
        <v>1</v>
      </c>
      <c r="AF157" s="161">
        <v>36</v>
      </c>
      <c r="AG157" s="161">
        <v>8</v>
      </c>
      <c r="AH157" s="1"/>
    </row>
    <row r="158" spans="28:34" x14ac:dyDescent="0.15">
      <c r="AC158" s="158">
        <v>13491</v>
      </c>
      <c r="AD158" s="161">
        <v>13</v>
      </c>
      <c r="AE158" s="161">
        <v>1</v>
      </c>
      <c r="AF158" s="161">
        <v>37</v>
      </c>
      <c r="AG158" s="161">
        <v>7</v>
      </c>
      <c r="AH158" s="1"/>
    </row>
    <row r="159" spans="28:34" x14ac:dyDescent="0.15">
      <c r="AC159" s="158">
        <v>13521</v>
      </c>
      <c r="AD159" s="161">
        <v>13</v>
      </c>
      <c r="AE159" s="161">
        <v>1</v>
      </c>
      <c r="AF159" s="161">
        <v>38</v>
      </c>
      <c r="AG159" s="161">
        <v>6</v>
      </c>
      <c r="AH159" s="1"/>
    </row>
    <row r="160" spans="28:34" x14ac:dyDescent="0.15">
      <c r="AB160">
        <v>5</v>
      </c>
      <c r="AC160" s="158">
        <v>13550</v>
      </c>
      <c r="AD160" s="161">
        <v>14</v>
      </c>
      <c r="AE160" s="161">
        <v>9</v>
      </c>
      <c r="AF160" s="161">
        <v>39</v>
      </c>
      <c r="AG160" s="161">
        <v>5</v>
      </c>
      <c r="AH160" s="1"/>
    </row>
    <row r="161" spans="28:34" x14ac:dyDescent="0.15">
      <c r="AB161">
        <v>6</v>
      </c>
      <c r="AC161" s="158">
        <v>13580</v>
      </c>
      <c r="AD161" s="161">
        <v>14</v>
      </c>
      <c r="AE161" s="161">
        <v>9</v>
      </c>
      <c r="AF161" s="161">
        <v>40</v>
      </c>
      <c r="AG161" s="161">
        <v>4</v>
      </c>
      <c r="AH161" s="1"/>
    </row>
    <row r="162" spans="28:34" x14ac:dyDescent="0.15">
      <c r="AC162" s="158">
        <v>13610</v>
      </c>
      <c r="AD162" s="161">
        <v>14</v>
      </c>
      <c r="AE162" s="161">
        <v>9</v>
      </c>
      <c r="AF162" s="161">
        <v>41</v>
      </c>
      <c r="AG162" s="161">
        <v>3</v>
      </c>
      <c r="AH162" s="1"/>
    </row>
    <row r="163" spans="28:34" x14ac:dyDescent="0.15">
      <c r="AC163" s="158">
        <v>13641</v>
      </c>
      <c r="AD163" s="161">
        <v>14</v>
      </c>
      <c r="AE163" s="161">
        <v>9</v>
      </c>
      <c r="AF163" s="161">
        <v>42</v>
      </c>
      <c r="AG163" s="161">
        <v>2</v>
      </c>
      <c r="AH163" s="1"/>
    </row>
    <row r="164" spans="28:34" x14ac:dyDescent="0.15">
      <c r="AC164" s="158">
        <v>13672</v>
      </c>
      <c r="AD164" s="161">
        <v>14</v>
      </c>
      <c r="AE164" s="161">
        <v>9</v>
      </c>
      <c r="AF164" s="161">
        <v>43</v>
      </c>
      <c r="AG164" s="161">
        <v>1</v>
      </c>
      <c r="AH164" s="1"/>
    </row>
    <row r="165" spans="28:34" x14ac:dyDescent="0.15">
      <c r="AC165" s="158">
        <v>13703</v>
      </c>
      <c r="AD165" s="161">
        <v>14</v>
      </c>
      <c r="AE165" s="161">
        <v>9</v>
      </c>
      <c r="AF165" s="161">
        <v>44</v>
      </c>
      <c r="AG165" s="161">
        <v>9</v>
      </c>
      <c r="AH165" s="1"/>
    </row>
    <row r="166" spans="28:34" x14ac:dyDescent="0.15">
      <c r="AC166" s="158">
        <v>13735</v>
      </c>
      <c r="AD166" s="161">
        <v>14</v>
      </c>
      <c r="AE166" s="161">
        <v>9</v>
      </c>
      <c r="AF166" s="161">
        <v>45</v>
      </c>
      <c r="AG166" s="161">
        <v>8</v>
      </c>
      <c r="AH166" s="1"/>
    </row>
    <row r="167" spans="28:34" x14ac:dyDescent="0.15">
      <c r="AC167" s="158">
        <v>13766</v>
      </c>
      <c r="AD167" s="161">
        <v>14</v>
      </c>
      <c r="AE167" s="161">
        <v>9</v>
      </c>
      <c r="AF167" s="161">
        <v>46</v>
      </c>
      <c r="AG167" s="161">
        <v>7</v>
      </c>
      <c r="AH167" s="1"/>
    </row>
    <row r="168" spans="28:34" x14ac:dyDescent="0.15">
      <c r="AC168" s="158">
        <v>13797</v>
      </c>
      <c r="AD168" s="161">
        <v>14</v>
      </c>
      <c r="AE168" s="161">
        <v>9</v>
      </c>
      <c r="AF168" s="161">
        <v>47</v>
      </c>
      <c r="AG168" s="161">
        <v>6</v>
      </c>
      <c r="AH168" s="1"/>
    </row>
    <row r="169" spans="28:34" x14ac:dyDescent="0.15">
      <c r="AC169" s="158">
        <v>13827</v>
      </c>
      <c r="AD169" s="161">
        <v>14</v>
      </c>
      <c r="AE169" s="161">
        <v>9</v>
      </c>
      <c r="AF169" s="161">
        <v>48</v>
      </c>
      <c r="AG169" s="161">
        <v>5</v>
      </c>
      <c r="AH169" s="1"/>
    </row>
    <row r="170" spans="28:34" x14ac:dyDescent="0.15">
      <c r="AC170" s="158">
        <v>13856</v>
      </c>
      <c r="AD170" s="161">
        <v>14</v>
      </c>
      <c r="AE170" s="161">
        <v>9</v>
      </c>
      <c r="AF170" s="161">
        <v>49</v>
      </c>
      <c r="AG170" s="161">
        <v>4</v>
      </c>
      <c r="AH170" s="1"/>
    </row>
    <row r="171" spans="28:34" x14ac:dyDescent="0.15">
      <c r="AC171" s="158">
        <v>13886</v>
      </c>
      <c r="AD171" s="161">
        <v>14</v>
      </c>
      <c r="AE171" s="161">
        <v>9</v>
      </c>
      <c r="AF171" s="161">
        <v>50</v>
      </c>
      <c r="AG171" s="161">
        <v>3</v>
      </c>
      <c r="AH171" s="1"/>
    </row>
    <row r="172" spans="28:34" x14ac:dyDescent="0.15">
      <c r="AC172" s="158">
        <v>13915</v>
      </c>
      <c r="AD172" s="161">
        <v>15</v>
      </c>
      <c r="AE172" s="161">
        <v>8</v>
      </c>
      <c r="AF172" s="161">
        <v>51</v>
      </c>
      <c r="AG172" s="161">
        <v>2</v>
      </c>
      <c r="AH172" s="1"/>
    </row>
    <row r="173" spans="28:34" x14ac:dyDescent="0.15">
      <c r="AC173" s="158">
        <v>13945</v>
      </c>
      <c r="AD173" s="161">
        <v>15</v>
      </c>
      <c r="AE173" s="161">
        <v>8</v>
      </c>
      <c r="AF173" s="161">
        <v>52</v>
      </c>
      <c r="AG173" s="161">
        <v>1</v>
      </c>
      <c r="AH173" s="1"/>
    </row>
    <row r="174" spans="28:34" x14ac:dyDescent="0.15">
      <c r="AC174" s="158">
        <v>13975</v>
      </c>
      <c r="AD174" s="161">
        <v>15</v>
      </c>
      <c r="AE174" s="161">
        <v>8</v>
      </c>
      <c r="AF174" s="161">
        <v>53</v>
      </c>
      <c r="AG174" s="161">
        <v>9</v>
      </c>
      <c r="AH174" s="1"/>
    </row>
    <row r="175" spans="28:34" x14ac:dyDescent="0.15">
      <c r="AC175" s="158">
        <v>14006</v>
      </c>
      <c r="AD175" s="161">
        <v>15</v>
      </c>
      <c r="AE175" s="161">
        <v>8</v>
      </c>
      <c r="AF175" s="161">
        <v>54</v>
      </c>
      <c r="AG175" s="161">
        <v>8</v>
      </c>
      <c r="AH175" s="1"/>
    </row>
    <row r="176" spans="28:34" x14ac:dyDescent="0.15">
      <c r="AC176" s="158">
        <v>14037</v>
      </c>
      <c r="AD176" s="161">
        <v>15</v>
      </c>
      <c r="AE176" s="161">
        <v>8</v>
      </c>
      <c r="AF176" s="161">
        <v>55</v>
      </c>
      <c r="AG176" s="161">
        <v>7</v>
      </c>
      <c r="AH176" s="1"/>
    </row>
    <row r="177" spans="28:34" x14ac:dyDescent="0.15">
      <c r="AC177" s="158">
        <v>14069</v>
      </c>
      <c r="AD177" s="161">
        <v>15</v>
      </c>
      <c r="AE177" s="161">
        <v>8</v>
      </c>
      <c r="AF177" s="161">
        <v>56</v>
      </c>
      <c r="AG177" s="161">
        <v>6</v>
      </c>
      <c r="AH177" s="1"/>
    </row>
    <row r="178" spans="28:34" x14ac:dyDescent="0.15">
      <c r="AC178" s="158">
        <v>14100</v>
      </c>
      <c r="AD178" s="161">
        <v>15</v>
      </c>
      <c r="AE178" s="161">
        <v>8</v>
      </c>
      <c r="AF178" s="161">
        <v>57</v>
      </c>
      <c r="AG178" s="161">
        <v>5</v>
      </c>
      <c r="AH178" s="1"/>
    </row>
    <row r="179" spans="28:34" x14ac:dyDescent="0.15">
      <c r="AC179" s="158">
        <v>14131</v>
      </c>
      <c r="AD179" s="161">
        <v>15</v>
      </c>
      <c r="AE179" s="161">
        <v>8</v>
      </c>
      <c r="AF179" s="161">
        <v>58</v>
      </c>
      <c r="AG179" s="161">
        <v>4</v>
      </c>
      <c r="AH179" s="1"/>
    </row>
    <row r="180" spans="28:34" x14ac:dyDescent="0.15">
      <c r="AC180" s="158">
        <v>14162</v>
      </c>
      <c r="AD180" s="161">
        <v>15</v>
      </c>
      <c r="AE180" s="161">
        <v>8</v>
      </c>
      <c r="AF180" s="161">
        <v>59</v>
      </c>
      <c r="AG180" s="161">
        <v>3</v>
      </c>
      <c r="AH180" s="1"/>
    </row>
    <row r="181" spans="28:34" x14ac:dyDescent="0.15">
      <c r="AC181" s="158">
        <v>14192</v>
      </c>
      <c r="AD181" s="161">
        <v>15</v>
      </c>
      <c r="AE181" s="161">
        <v>8</v>
      </c>
      <c r="AF181" s="161">
        <v>60</v>
      </c>
      <c r="AG181" s="161">
        <v>2</v>
      </c>
      <c r="AH181" s="1"/>
    </row>
    <row r="182" spans="28:34" x14ac:dyDescent="0.15">
      <c r="AC182" s="158">
        <v>14222</v>
      </c>
      <c r="AD182" s="161">
        <v>15</v>
      </c>
      <c r="AE182" s="161">
        <v>8</v>
      </c>
      <c r="AF182" s="161">
        <v>1</v>
      </c>
      <c r="AG182" s="161">
        <v>1</v>
      </c>
      <c r="AH182" s="1"/>
    </row>
    <row r="183" spans="28:34" x14ac:dyDescent="0.15">
      <c r="AC183" s="158">
        <v>14251</v>
      </c>
      <c r="AD183" s="161">
        <v>15</v>
      </c>
      <c r="AE183" s="161">
        <v>8</v>
      </c>
      <c r="AF183" s="161">
        <v>2</v>
      </c>
      <c r="AG183" s="161">
        <v>9</v>
      </c>
      <c r="AH183" s="1"/>
    </row>
    <row r="184" spans="28:34" x14ac:dyDescent="0.15">
      <c r="AC184" s="159">
        <v>14281</v>
      </c>
      <c r="AD184" s="161">
        <v>16</v>
      </c>
      <c r="AE184" s="161">
        <v>7</v>
      </c>
      <c r="AF184" s="161">
        <v>3</v>
      </c>
      <c r="AG184" s="161">
        <v>8</v>
      </c>
      <c r="AH184" s="1"/>
    </row>
    <row r="185" spans="28:34" x14ac:dyDescent="0.15">
      <c r="AC185" s="159">
        <v>14310</v>
      </c>
      <c r="AD185" s="161">
        <v>16</v>
      </c>
      <c r="AE185" s="161">
        <v>7</v>
      </c>
      <c r="AF185" s="161">
        <v>4</v>
      </c>
      <c r="AG185" s="161">
        <v>7</v>
      </c>
      <c r="AH185" s="1"/>
    </row>
    <row r="186" spans="28:34" x14ac:dyDescent="0.15">
      <c r="AC186" s="159">
        <v>14341</v>
      </c>
      <c r="AD186" s="161">
        <v>16</v>
      </c>
      <c r="AE186" s="161">
        <v>7</v>
      </c>
      <c r="AF186" s="161">
        <v>5</v>
      </c>
      <c r="AG186" s="161">
        <v>6</v>
      </c>
      <c r="AH186" s="1"/>
    </row>
    <row r="187" spans="28:34" x14ac:dyDescent="0.15">
      <c r="AC187" s="159">
        <v>14371</v>
      </c>
      <c r="AD187" s="161">
        <v>16</v>
      </c>
      <c r="AE187" s="161">
        <v>7</v>
      </c>
      <c r="AF187" s="161">
        <v>6</v>
      </c>
      <c r="AG187" s="161">
        <v>5</v>
      </c>
      <c r="AH187" s="1"/>
    </row>
    <row r="188" spans="28:34" x14ac:dyDescent="0.15">
      <c r="AC188" s="159">
        <v>14402</v>
      </c>
      <c r="AD188" s="161">
        <v>16</v>
      </c>
      <c r="AE188" s="161">
        <v>7</v>
      </c>
      <c r="AF188" s="161">
        <v>7</v>
      </c>
      <c r="AG188" s="161">
        <v>4</v>
      </c>
      <c r="AH188" s="1"/>
    </row>
    <row r="189" spans="28:34" x14ac:dyDescent="0.15">
      <c r="AC189" s="159">
        <v>14434</v>
      </c>
      <c r="AD189" s="161">
        <v>16</v>
      </c>
      <c r="AE189" s="161">
        <v>7</v>
      </c>
      <c r="AF189" s="161">
        <v>8</v>
      </c>
      <c r="AG189" s="161">
        <v>3</v>
      </c>
      <c r="AH189" s="1"/>
    </row>
    <row r="190" spans="28:34" x14ac:dyDescent="0.15">
      <c r="AC190" s="159">
        <v>14465</v>
      </c>
      <c r="AD190" s="161">
        <v>16</v>
      </c>
      <c r="AE190" s="161">
        <v>7</v>
      </c>
      <c r="AF190" s="161">
        <v>9</v>
      </c>
      <c r="AG190" s="161">
        <v>2</v>
      </c>
      <c r="AH190" s="1"/>
    </row>
    <row r="191" spans="28:34" x14ac:dyDescent="0.15">
      <c r="AB191">
        <v>6</v>
      </c>
      <c r="AC191" s="159">
        <v>14496</v>
      </c>
      <c r="AD191" s="161">
        <v>16</v>
      </c>
      <c r="AE191" s="161">
        <v>7</v>
      </c>
      <c r="AF191" s="161">
        <v>10</v>
      </c>
      <c r="AG191" s="161">
        <v>1</v>
      </c>
      <c r="AH191" s="1"/>
    </row>
    <row r="192" spans="28:34" x14ac:dyDescent="0.15">
      <c r="AB192">
        <v>7</v>
      </c>
      <c r="AC192" s="159">
        <v>14527</v>
      </c>
      <c r="AD192" s="161">
        <v>16</v>
      </c>
      <c r="AE192" s="161">
        <v>7</v>
      </c>
      <c r="AF192" s="161">
        <v>11</v>
      </c>
      <c r="AG192" s="161">
        <v>9</v>
      </c>
      <c r="AH192" s="1"/>
    </row>
    <row r="193" spans="29:34" x14ac:dyDescent="0.15">
      <c r="AC193" s="159">
        <v>14557</v>
      </c>
      <c r="AD193" s="161">
        <v>16</v>
      </c>
      <c r="AE193" s="161">
        <v>7</v>
      </c>
      <c r="AF193" s="161">
        <v>12</v>
      </c>
      <c r="AG193" s="161">
        <v>8</v>
      </c>
      <c r="AH193" s="1"/>
    </row>
    <row r="194" spans="29:34" x14ac:dyDescent="0.15">
      <c r="AC194" s="159">
        <v>14587</v>
      </c>
      <c r="AD194" s="161">
        <v>16</v>
      </c>
      <c r="AE194" s="161">
        <v>7</v>
      </c>
      <c r="AF194" s="161">
        <v>13</v>
      </c>
      <c r="AG194" s="161">
        <v>7</v>
      </c>
      <c r="AH194" s="1"/>
    </row>
    <row r="195" spans="29:34" x14ac:dyDescent="0.15">
      <c r="AC195" s="159">
        <v>14616</v>
      </c>
      <c r="AD195" s="161">
        <v>16</v>
      </c>
      <c r="AE195" s="161">
        <v>7</v>
      </c>
      <c r="AF195" s="161">
        <v>14</v>
      </c>
      <c r="AG195" s="161">
        <v>6</v>
      </c>
      <c r="AH195" s="1"/>
    </row>
    <row r="196" spans="29:34" x14ac:dyDescent="0.15">
      <c r="AC196" s="159">
        <v>14646</v>
      </c>
      <c r="AD196" s="161">
        <v>17</v>
      </c>
      <c r="AE196" s="161">
        <v>6</v>
      </c>
      <c r="AF196" s="161">
        <v>15</v>
      </c>
      <c r="AG196" s="161">
        <v>5</v>
      </c>
      <c r="AH196" s="1"/>
    </row>
    <row r="197" spans="29:34" x14ac:dyDescent="0.15">
      <c r="AC197" s="159">
        <v>14676</v>
      </c>
      <c r="AD197" s="161">
        <v>17</v>
      </c>
      <c r="AE197" s="161">
        <v>6</v>
      </c>
      <c r="AF197" s="161">
        <v>16</v>
      </c>
      <c r="AG197" s="161">
        <v>4</v>
      </c>
      <c r="AH197" s="1"/>
    </row>
    <row r="198" spans="29:34" x14ac:dyDescent="0.15">
      <c r="AC198" s="159">
        <v>14706</v>
      </c>
      <c r="AD198" s="161">
        <v>17</v>
      </c>
      <c r="AE198" s="161">
        <v>6</v>
      </c>
      <c r="AF198" s="161">
        <v>17</v>
      </c>
      <c r="AG198" s="161">
        <v>3</v>
      </c>
      <c r="AH198" s="1"/>
    </row>
    <row r="199" spans="29:34" x14ac:dyDescent="0.15">
      <c r="AC199" s="159">
        <v>14737</v>
      </c>
      <c r="AD199" s="161">
        <v>17</v>
      </c>
      <c r="AE199" s="161">
        <v>6</v>
      </c>
      <c r="AF199" s="161">
        <v>18</v>
      </c>
      <c r="AG199" s="161">
        <v>2</v>
      </c>
      <c r="AH199" s="1"/>
    </row>
    <row r="200" spans="29:34" x14ac:dyDescent="0.15">
      <c r="AC200" s="159">
        <v>14768</v>
      </c>
      <c r="AD200" s="161">
        <v>17</v>
      </c>
      <c r="AE200" s="161">
        <v>6</v>
      </c>
      <c r="AF200" s="161">
        <v>19</v>
      </c>
      <c r="AG200" s="161">
        <v>1</v>
      </c>
      <c r="AH200" s="1"/>
    </row>
    <row r="201" spans="29:34" x14ac:dyDescent="0.15">
      <c r="AC201" s="159">
        <v>14799</v>
      </c>
      <c r="AD201" s="161">
        <v>17</v>
      </c>
      <c r="AE201" s="161">
        <v>6</v>
      </c>
      <c r="AF201" s="161">
        <v>20</v>
      </c>
      <c r="AG201" s="161">
        <v>9</v>
      </c>
      <c r="AH201" s="1"/>
    </row>
    <row r="202" spans="29:34" x14ac:dyDescent="0.15">
      <c r="AC202" s="159">
        <v>14831</v>
      </c>
      <c r="AD202" s="161">
        <v>17</v>
      </c>
      <c r="AE202" s="161">
        <v>6</v>
      </c>
      <c r="AF202" s="161">
        <v>21</v>
      </c>
      <c r="AG202" s="161">
        <v>8</v>
      </c>
      <c r="AH202" s="1"/>
    </row>
    <row r="203" spans="29:34" x14ac:dyDescent="0.15">
      <c r="AC203" s="159">
        <v>14862</v>
      </c>
      <c r="AD203" s="161">
        <v>17</v>
      </c>
      <c r="AE203" s="161">
        <v>6</v>
      </c>
      <c r="AF203" s="161">
        <v>22</v>
      </c>
      <c r="AG203" s="161">
        <v>7</v>
      </c>
      <c r="AH203" s="1"/>
    </row>
    <row r="204" spans="29:34" x14ac:dyDescent="0.15">
      <c r="AC204" s="159">
        <v>14892</v>
      </c>
      <c r="AD204" s="161">
        <v>17</v>
      </c>
      <c r="AE204" s="161">
        <v>6</v>
      </c>
      <c r="AF204" s="161">
        <v>23</v>
      </c>
      <c r="AG204" s="161">
        <v>6</v>
      </c>
      <c r="AH204" s="1"/>
    </row>
    <row r="205" spans="29:34" x14ac:dyDescent="0.15">
      <c r="AC205" s="159">
        <v>14922</v>
      </c>
      <c r="AD205" s="161">
        <v>17</v>
      </c>
      <c r="AE205" s="161">
        <v>6</v>
      </c>
      <c r="AF205" s="161">
        <v>24</v>
      </c>
      <c r="AG205" s="161">
        <v>5</v>
      </c>
      <c r="AH205" s="1"/>
    </row>
    <row r="206" spans="29:34" x14ac:dyDescent="0.15">
      <c r="AC206" s="159">
        <v>14952</v>
      </c>
      <c r="AD206" s="161">
        <v>17</v>
      </c>
      <c r="AE206" s="161">
        <v>6</v>
      </c>
      <c r="AF206" s="161">
        <v>25</v>
      </c>
      <c r="AG206" s="161">
        <v>4</v>
      </c>
      <c r="AH206" s="1"/>
    </row>
    <row r="207" spans="29:34" x14ac:dyDescent="0.15">
      <c r="AC207" s="159">
        <v>14982</v>
      </c>
      <c r="AD207" s="161">
        <v>17</v>
      </c>
      <c r="AE207" s="161">
        <v>6</v>
      </c>
      <c r="AF207" s="161">
        <v>26</v>
      </c>
      <c r="AG207" s="161">
        <v>3</v>
      </c>
      <c r="AH207" s="1"/>
    </row>
    <row r="208" spans="29:34" x14ac:dyDescent="0.15">
      <c r="AC208" s="159">
        <v>15011</v>
      </c>
      <c r="AD208" s="161">
        <v>18</v>
      </c>
      <c r="AE208" s="161">
        <v>5</v>
      </c>
      <c r="AF208" s="161">
        <v>27</v>
      </c>
      <c r="AG208" s="161">
        <v>2</v>
      </c>
      <c r="AH208" s="1"/>
    </row>
    <row r="209" spans="28:34" x14ac:dyDescent="0.15">
      <c r="AC209" s="159">
        <v>15041</v>
      </c>
      <c r="AD209" s="161">
        <v>18</v>
      </c>
      <c r="AE209" s="161">
        <v>5</v>
      </c>
      <c r="AF209" s="161">
        <v>28</v>
      </c>
      <c r="AG209" s="161">
        <v>1</v>
      </c>
      <c r="AH209" s="1"/>
    </row>
    <row r="210" spans="28:34" x14ac:dyDescent="0.15">
      <c r="AC210" s="159">
        <v>15071</v>
      </c>
      <c r="AD210" s="161">
        <v>18</v>
      </c>
      <c r="AE210" s="161">
        <v>5</v>
      </c>
      <c r="AF210" s="161">
        <v>29</v>
      </c>
      <c r="AG210" s="161">
        <v>9</v>
      </c>
      <c r="AH210" s="1"/>
    </row>
    <row r="211" spans="28:34" x14ac:dyDescent="0.15">
      <c r="AC211" s="159">
        <v>15102</v>
      </c>
      <c r="AD211" s="161">
        <v>18</v>
      </c>
      <c r="AE211" s="161">
        <v>5</v>
      </c>
      <c r="AF211" s="161">
        <v>30</v>
      </c>
      <c r="AG211" s="161">
        <v>8</v>
      </c>
      <c r="AH211" s="1"/>
    </row>
    <row r="212" spans="28:34" x14ac:dyDescent="0.15">
      <c r="AC212" s="159">
        <v>15133</v>
      </c>
      <c r="AD212" s="161">
        <v>18</v>
      </c>
      <c r="AE212" s="161">
        <v>5</v>
      </c>
      <c r="AF212" s="161">
        <v>31</v>
      </c>
      <c r="AG212" s="161">
        <v>7</v>
      </c>
      <c r="AH212" s="1"/>
    </row>
    <row r="213" spans="28:34" x14ac:dyDescent="0.15">
      <c r="AC213" s="159">
        <v>15164</v>
      </c>
      <c r="AD213" s="161">
        <v>18</v>
      </c>
      <c r="AE213" s="161">
        <v>5</v>
      </c>
      <c r="AF213" s="161">
        <v>32</v>
      </c>
      <c r="AG213" s="161">
        <v>6</v>
      </c>
      <c r="AH213" s="1"/>
    </row>
    <row r="214" spans="28:34" x14ac:dyDescent="0.15">
      <c r="AC214" s="159">
        <v>15196</v>
      </c>
      <c r="AD214" s="161">
        <v>18</v>
      </c>
      <c r="AE214" s="161">
        <v>5</v>
      </c>
      <c r="AF214" s="161">
        <v>33</v>
      </c>
      <c r="AG214" s="161">
        <v>5</v>
      </c>
      <c r="AH214" s="1"/>
    </row>
    <row r="215" spans="28:34" x14ac:dyDescent="0.15">
      <c r="AC215" s="159">
        <v>15227</v>
      </c>
      <c r="AD215" s="161">
        <v>18</v>
      </c>
      <c r="AE215" s="161">
        <v>5</v>
      </c>
      <c r="AF215" s="161">
        <v>34</v>
      </c>
      <c r="AG215" s="161">
        <v>4</v>
      </c>
      <c r="AH215" s="1"/>
    </row>
    <row r="216" spans="28:34" x14ac:dyDescent="0.15">
      <c r="AC216" s="159">
        <v>15258</v>
      </c>
      <c r="AD216" s="161">
        <v>18</v>
      </c>
      <c r="AE216" s="161">
        <v>5</v>
      </c>
      <c r="AF216" s="161">
        <v>35</v>
      </c>
      <c r="AG216" s="161">
        <v>3</v>
      </c>
      <c r="AH216" s="1"/>
    </row>
    <row r="217" spans="28:34" x14ac:dyDescent="0.15">
      <c r="AC217" s="159">
        <v>15288</v>
      </c>
      <c r="AD217" s="161">
        <v>18</v>
      </c>
      <c r="AE217" s="161">
        <v>5</v>
      </c>
      <c r="AF217" s="161">
        <v>36</v>
      </c>
      <c r="AG217" s="161">
        <v>2</v>
      </c>
      <c r="AH217" s="1"/>
    </row>
    <row r="218" spans="28:34" x14ac:dyDescent="0.15">
      <c r="AC218" s="159">
        <v>15317</v>
      </c>
      <c r="AD218" s="161">
        <v>18</v>
      </c>
      <c r="AE218" s="161">
        <v>5</v>
      </c>
      <c r="AF218" s="161">
        <v>37</v>
      </c>
      <c r="AG218" s="161">
        <v>1</v>
      </c>
      <c r="AH218" s="1"/>
    </row>
    <row r="219" spans="28:34" x14ac:dyDescent="0.15">
      <c r="AC219" s="159">
        <v>15347</v>
      </c>
      <c r="AD219" s="161">
        <v>18</v>
      </c>
      <c r="AE219" s="161">
        <v>5</v>
      </c>
      <c r="AF219" s="161">
        <v>38</v>
      </c>
      <c r="AG219" s="161">
        <v>9</v>
      </c>
      <c r="AH219" s="1"/>
    </row>
    <row r="220" spans="28:34" x14ac:dyDescent="0.15">
      <c r="AC220" s="159">
        <v>15376</v>
      </c>
      <c r="AD220" s="161">
        <v>18</v>
      </c>
      <c r="AE220" s="161">
        <v>5</v>
      </c>
      <c r="AF220" s="161">
        <v>39</v>
      </c>
      <c r="AG220" s="161">
        <v>8</v>
      </c>
      <c r="AH220" s="1"/>
    </row>
    <row r="221" spans="28:34" x14ac:dyDescent="0.15">
      <c r="AC221" s="159">
        <v>15406</v>
      </c>
      <c r="AD221" s="161">
        <v>18</v>
      </c>
      <c r="AE221" s="161">
        <v>5</v>
      </c>
      <c r="AF221" s="161">
        <v>40</v>
      </c>
      <c r="AG221" s="161">
        <v>7</v>
      </c>
      <c r="AH221" s="1"/>
    </row>
    <row r="222" spans="28:34" x14ac:dyDescent="0.15">
      <c r="AB222">
        <v>7</v>
      </c>
      <c r="AC222" s="159">
        <v>15436</v>
      </c>
      <c r="AD222" s="161">
        <v>19</v>
      </c>
      <c r="AE222" s="161">
        <v>4</v>
      </c>
      <c r="AF222" s="161">
        <v>41</v>
      </c>
      <c r="AG222" s="161">
        <v>6</v>
      </c>
      <c r="AH222" s="1"/>
    </row>
    <row r="223" spans="28:34" x14ac:dyDescent="0.15">
      <c r="AB223">
        <v>8</v>
      </c>
      <c r="AC223" s="159">
        <v>15467</v>
      </c>
      <c r="AD223" s="161">
        <v>19</v>
      </c>
      <c r="AE223" s="161">
        <v>4</v>
      </c>
      <c r="AF223" s="161">
        <v>42</v>
      </c>
      <c r="AG223" s="161">
        <v>5</v>
      </c>
      <c r="AH223" s="145"/>
    </row>
    <row r="224" spans="28:34" x14ac:dyDescent="0.15">
      <c r="AC224" s="159">
        <v>15498</v>
      </c>
      <c r="AD224" s="161">
        <v>19</v>
      </c>
      <c r="AE224" s="161">
        <v>4</v>
      </c>
      <c r="AF224" s="161">
        <v>43</v>
      </c>
      <c r="AG224" s="161">
        <v>4</v>
      </c>
      <c r="AH224" s="145"/>
    </row>
    <row r="225" spans="29:34" x14ac:dyDescent="0.15">
      <c r="AC225" s="159">
        <v>15530</v>
      </c>
      <c r="AD225" s="161">
        <v>19</v>
      </c>
      <c r="AE225" s="161">
        <v>4</v>
      </c>
      <c r="AF225" s="161">
        <v>44</v>
      </c>
      <c r="AG225" s="161">
        <v>3</v>
      </c>
      <c r="AH225" s="145"/>
    </row>
    <row r="226" spans="29:34" x14ac:dyDescent="0.15">
      <c r="AC226" s="159">
        <v>15561</v>
      </c>
      <c r="AD226" s="161">
        <v>19</v>
      </c>
      <c r="AE226" s="161">
        <v>4</v>
      </c>
      <c r="AF226" s="161">
        <v>45</v>
      </c>
      <c r="AG226" s="161">
        <v>2</v>
      </c>
      <c r="AH226" s="145"/>
    </row>
    <row r="227" spans="29:34" x14ac:dyDescent="0.15">
      <c r="AC227" s="159">
        <v>15592</v>
      </c>
      <c r="AD227" s="161">
        <v>19</v>
      </c>
      <c r="AE227" s="161">
        <v>4</v>
      </c>
      <c r="AF227" s="161">
        <v>46</v>
      </c>
      <c r="AG227" s="161">
        <v>1</v>
      </c>
      <c r="AH227" s="145"/>
    </row>
    <row r="228" spans="29:34" x14ac:dyDescent="0.15">
      <c r="AC228" s="159">
        <v>15623</v>
      </c>
      <c r="AD228" s="161">
        <v>19</v>
      </c>
      <c r="AE228" s="161">
        <v>4</v>
      </c>
      <c r="AF228" s="161">
        <v>47</v>
      </c>
      <c r="AG228" s="161">
        <v>9</v>
      </c>
      <c r="AH228" s="145"/>
    </row>
    <row r="229" spans="29:34" x14ac:dyDescent="0.15">
      <c r="AC229" s="159">
        <v>15653</v>
      </c>
      <c r="AD229" s="161">
        <v>19</v>
      </c>
      <c r="AE229" s="161">
        <v>4</v>
      </c>
      <c r="AF229" s="161">
        <v>48</v>
      </c>
      <c r="AG229" s="161">
        <v>8</v>
      </c>
      <c r="AH229" s="145"/>
    </row>
    <row r="230" spans="29:34" x14ac:dyDescent="0.15">
      <c r="AC230" s="159">
        <v>15683</v>
      </c>
      <c r="AD230" s="161">
        <v>19</v>
      </c>
      <c r="AE230" s="161">
        <v>4</v>
      </c>
      <c r="AF230" s="161">
        <v>49</v>
      </c>
      <c r="AG230" s="161">
        <v>7</v>
      </c>
      <c r="AH230" s="145"/>
    </row>
    <row r="231" spans="29:34" x14ac:dyDescent="0.15">
      <c r="AC231" s="159">
        <v>15712</v>
      </c>
      <c r="AD231" s="161">
        <v>19</v>
      </c>
      <c r="AE231" s="161">
        <v>4</v>
      </c>
      <c r="AF231" s="161">
        <v>50</v>
      </c>
      <c r="AG231" s="161">
        <v>6</v>
      </c>
      <c r="AH231" s="145"/>
    </row>
    <row r="232" spans="29:34" x14ac:dyDescent="0.15">
      <c r="AC232" s="159">
        <v>15742</v>
      </c>
      <c r="AD232" s="161">
        <v>20</v>
      </c>
      <c r="AE232" s="161">
        <v>3</v>
      </c>
      <c r="AF232" s="161">
        <v>51</v>
      </c>
      <c r="AG232" s="161">
        <v>5</v>
      </c>
      <c r="AH232" s="145"/>
    </row>
    <row r="233" spans="29:34" x14ac:dyDescent="0.15">
      <c r="AC233" s="159">
        <v>15771</v>
      </c>
      <c r="AD233" s="161">
        <v>20</v>
      </c>
      <c r="AE233" s="161">
        <v>3</v>
      </c>
      <c r="AF233" s="161">
        <v>52</v>
      </c>
      <c r="AG233" s="161">
        <v>4</v>
      </c>
      <c r="AH233" s="145"/>
    </row>
    <row r="234" spans="29:34" x14ac:dyDescent="0.15">
      <c r="AC234" s="159">
        <v>15802</v>
      </c>
      <c r="AD234" s="161">
        <v>20</v>
      </c>
      <c r="AE234" s="161">
        <v>3</v>
      </c>
      <c r="AF234" s="161">
        <v>53</v>
      </c>
      <c r="AG234" s="161">
        <v>3</v>
      </c>
      <c r="AH234" s="145"/>
    </row>
    <row r="235" spans="29:34" x14ac:dyDescent="0.15">
      <c r="AC235" s="159">
        <v>15832</v>
      </c>
      <c r="AD235" s="161">
        <v>20</v>
      </c>
      <c r="AE235" s="161">
        <v>3</v>
      </c>
      <c r="AF235" s="161">
        <v>54</v>
      </c>
      <c r="AG235" s="161">
        <v>2</v>
      </c>
      <c r="AH235" s="145"/>
    </row>
    <row r="236" spans="29:34" x14ac:dyDescent="0.15">
      <c r="AC236" s="159">
        <v>15863</v>
      </c>
      <c r="AD236" s="161">
        <v>20</v>
      </c>
      <c r="AE236" s="161">
        <v>3</v>
      </c>
      <c r="AF236" s="161">
        <v>55</v>
      </c>
      <c r="AG236" s="161">
        <v>1</v>
      </c>
      <c r="AH236" s="145"/>
    </row>
    <row r="237" spans="29:34" x14ac:dyDescent="0.15">
      <c r="AC237" s="159">
        <v>15895</v>
      </c>
      <c r="AD237" s="161">
        <v>20</v>
      </c>
      <c r="AE237" s="161">
        <v>3</v>
      </c>
      <c r="AF237" s="161">
        <v>56</v>
      </c>
      <c r="AG237" s="161">
        <v>9</v>
      </c>
      <c r="AH237" s="145"/>
    </row>
    <row r="238" spans="29:34" x14ac:dyDescent="0.15">
      <c r="AC238" s="159">
        <v>15926</v>
      </c>
      <c r="AD238" s="161">
        <v>20</v>
      </c>
      <c r="AE238" s="161">
        <v>3</v>
      </c>
      <c r="AF238" s="161">
        <v>57</v>
      </c>
      <c r="AG238" s="161">
        <v>8</v>
      </c>
      <c r="AH238" s="145"/>
    </row>
    <row r="239" spans="29:34" x14ac:dyDescent="0.15">
      <c r="AC239" s="159">
        <v>15957</v>
      </c>
      <c r="AD239" s="161">
        <v>20</v>
      </c>
      <c r="AE239" s="161">
        <v>3</v>
      </c>
      <c r="AF239" s="161">
        <v>58</v>
      </c>
      <c r="AG239" s="161">
        <v>7</v>
      </c>
      <c r="AH239" s="145"/>
    </row>
    <row r="240" spans="29:34" x14ac:dyDescent="0.15">
      <c r="AC240" s="159">
        <v>15988</v>
      </c>
      <c r="AD240" s="161">
        <v>20</v>
      </c>
      <c r="AE240" s="161">
        <v>3</v>
      </c>
      <c r="AF240" s="161">
        <v>59</v>
      </c>
      <c r="AG240" s="161">
        <v>6</v>
      </c>
      <c r="AH240" s="145"/>
    </row>
    <row r="241" spans="28:34" x14ac:dyDescent="0.15">
      <c r="AC241" s="159">
        <v>16018</v>
      </c>
      <c r="AD241" s="161">
        <v>20</v>
      </c>
      <c r="AE241" s="161">
        <v>3</v>
      </c>
      <c r="AF241" s="161">
        <v>60</v>
      </c>
      <c r="AG241" s="161">
        <v>5</v>
      </c>
      <c r="AH241" s="145"/>
    </row>
    <row r="242" spans="28:34" x14ac:dyDescent="0.15">
      <c r="AC242" s="159">
        <v>16048</v>
      </c>
      <c r="AD242" s="161">
        <v>20</v>
      </c>
      <c r="AE242" s="161">
        <v>3</v>
      </c>
      <c r="AF242" s="161">
        <v>1</v>
      </c>
      <c r="AG242" s="161">
        <v>4</v>
      </c>
      <c r="AH242" s="145"/>
    </row>
    <row r="243" spans="28:34" x14ac:dyDescent="0.15">
      <c r="AC243" s="159">
        <v>16077</v>
      </c>
      <c r="AD243" s="161">
        <v>20</v>
      </c>
      <c r="AE243" s="161">
        <v>3</v>
      </c>
      <c r="AF243" s="161">
        <v>2</v>
      </c>
      <c r="AG243" s="161">
        <v>3</v>
      </c>
      <c r="AH243" s="145"/>
    </row>
    <row r="244" spans="28:34" x14ac:dyDescent="0.15">
      <c r="AC244" s="159">
        <v>16107</v>
      </c>
      <c r="AD244" s="161">
        <v>21</v>
      </c>
      <c r="AE244" s="161">
        <v>2</v>
      </c>
      <c r="AF244" s="161">
        <v>3</v>
      </c>
      <c r="AG244" s="161">
        <v>2</v>
      </c>
      <c r="AH244" s="145"/>
    </row>
    <row r="245" spans="28:34" x14ac:dyDescent="0.15">
      <c r="AC245" s="159">
        <v>16137</v>
      </c>
      <c r="AD245" s="161">
        <v>21</v>
      </c>
      <c r="AE245" s="161">
        <v>2</v>
      </c>
      <c r="AF245" s="161">
        <v>4</v>
      </c>
      <c r="AG245" s="161">
        <v>1</v>
      </c>
      <c r="AH245" s="145"/>
    </row>
    <row r="246" spans="28:34" x14ac:dyDescent="0.15">
      <c r="AC246" s="159">
        <v>16167</v>
      </c>
      <c r="AD246" s="161">
        <v>21</v>
      </c>
      <c r="AE246" s="161">
        <v>2</v>
      </c>
      <c r="AF246" s="161">
        <v>5</v>
      </c>
      <c r="AG246" s="161">
        <v>9</v>
      </c>
      <c r="AH246" s="145"/>
    </row>
    <row r="247" spans="28:34" x14ac:dyDescent="0.15">
      <c r="AC247" s="159">
        <v>16198</v>
      </c>
      <c r="AD247" s="161">
        <v>21</v>
      </c>
      <c r="AE247" s="161">
        <v>2</v>
      </c>
      <c r="AF247" s="161">
        <v>6</v>
      </c>
      <c r="AG247" s="161">
        <v>8</v>
      </c>
      <c r="AH247" s="145"/>
    </row>
    <row r="248" spans="28:34" x14ac:dyDescent="0.15">
      <c r="AC248" s="159">
        <v>16229</v>
      </c>
      <c r="AD248" s="161">
        <v>21</v>
      </c>
      <c r="AE248" s="161">
        <v>2</v>
      </c>
      <c r="AF248" s="161">
        <v>7</v>
      </c>
      <c r="AG248" s="161">
        <v>7</v>
      </c>
      <c r="AH248" s="145"/>
    </row>
    <row r="249" spans="28:34" x14ac:dyDescent="0.15">
      <c r="AC249" s="159">
        <v>16260</v>
      </c>
      <c r="AD249" s="161">
        <v>21</v>
      </c>
      <c r="AE249" s="161">
        <v>2</v>
      </c>
      <c r="AF249" s="161">
        <v>8</v>
      </c>
      <c r="AG249" s="161">
        <v>6</v>
      </c>
      <c r="AH249" s="145"/>
    </row>
    <row r="250" spans="28:34" x14ac:dyDescent="0.15">
      <c r="AC250" s="159">
        <v>16292</v>
      </c>
      <c r="AD250" s="161">
        <v>21</v>
      </c>
      <c r="AE250" s="161">
        <v>2</v>
      </c>
      <c r="AF250" s="161">
        <v>9</v>
      </c>
      <c r="AG250" s="161">
        <v>5</v>
      </c>
      <c r="AH250" s="145"/>
    </row>
    <row r="251" spans="28:34" x14ac:dyDescent="0.15">
      <c r="AC251" s="159">
        <v>16323</v>
      </c>
      <c r="AD251" s="161">
        <v>21</v>
      </c>
      <c r="AE251" s="161">
        <v>2</v>
      </c>
      <c r="AF251" s="161">
        <v>10</v>
      </c>
      <c r="AG251" s="161">
        <v>4</v>
      </c>
      <c r="AH251" s="145"/>
    </row>
    <row r="252" spans="28:34" x14ac:dyDescent="0.15">
      <c r="AC252" s="159">
        <v>16353</v>
      </c>
      <c r="AD252" s="161">
        <v>21</v>
      </c>
      <c r="AE252" s="161">
        <v>2</v>
      </c>
      <c r="AF252" s="161">
        <v>11</v>
      </c>
      <c r="AG252" s="161">
        <v>3</v>
      </c>
      <c r="AH252" s="145"/>
    </row>
    <row r="253" spans="28:34" x14ac:dyDescent="0.15">
      <c r="AC253" s="159">
        <v>16383</v>
      </c>
      <c r="AD253" s="161">
        <v>21</v>
      </c>
      <c r="AE253" s="161">
        <v>2</v>
      </c>
      <c r="AF253" s="161">
        <v>12</v>
      </c>
      <c r="AG253" s="161">
        <v>2</v>
      </c>
      <c r="AH253" s="145"/>
    </row>
    <row r="254" spans="28:34" x14ac:dyDescent="0.15">
      <c r="AB254">
        <v>8</v>
      </c>
      <c r="AC254" s="159">
        <v>16413</v>
      </c>
      <c r="AD254" s="161">
        <v>21</v>
      </c>
      <c r="AE254" s="161">
        <v>2</v>
      </c>
      <c r="AF254" s="161">
        <v>13</v>
      </c>
      <c r="AG254" s="161">
        <v>1</v>
      </c>
      <c r="AH254" s="145"/>
    </row>
    <row r="255" spans="28:34" x14ac:dyDescent="0.15">
      <c r="AB255">
        <v>9</v>
      </c>
      <c r="AC255" s="158">
        <v>16443</v>
      </c>
      <c r="AD255" s="161">
        <v>21</v>
      </c>
      <c r="AE255" s="161">
        <v>2</v>
      </c>
      <c r="AF255" s="161">
        <v>14</v>
      </c>
      <c r="AG255" s="161">
        <v>9</v>
      </c>
      <c r="AH255" s="145"/>
    </row>
    <row r="256" spans="28:34" x14ac:dyDescent="0.15">
      <c r="AC256" s="158">
        <v>16472</v>
      </c>
      <c r="AD256" s="161">
        <v>22</v>
      </c>
      <c r="AE256" s="161">
        <v>1</v>
      </c>
      <c r="AF256" s="161">
        <v>15</v>
      </c>
      <c r="AG256" s="161">
        <v>8</v>
      </c>
      <c r="AH256" s="145"/>
    </row>
    <row r="257" spans="29:34" x14ac:dyDescent="0.15">
      <c r="AC257" s="158">
        <v>16502</v>
      </c>
      <c r="AD257" s="161">
        <v>22</v>
      </c>
      <c r="AE257" s="161">
        <v>1</v>
      </c>
      <c r="AF257" s="161">
        <v>16</v>
      </c>
      <c r="AG257" s="161">
        <v>7</v>
      </c>
      <c r="AH257" s="145"/>
    </row>
    <row r="258" spans="29:34" x14ac:dyDescent="0.15">
      <c r="AC258" s="158">
        <v>16532</v>
      </c>
      <c r="AD258" s="161">
        <v>22</v>
      </c>
      <c r="AE258" s="161">
        <v>1</v>
      </c>
      <c r="AF258" s="161">
        <v>17</v>
      </c>
      <c r="AG258" s="161">
        <v>6</v>
      </c>
      <c r="AH258" s="145"/>
    </row>
    <row r="259" spans="29:34" x14ac:dyDescent="0.15">
      <c r="AC259" s="158">
        <v>16563</v>
      </c>
      <c r="AD259" s="161">
        <v>22</v>
      </c>
      <c r="AE259" s="161">
        <v>1</v>
      </c>
      <c r="AF259" s="161">
        <v>18</v>
      </c>
      <c r="AG259" s="161">
        <v>5</v>
      </c>
      <c r="AH259" s="145"/>
    </row>
    <row r="260" spans="29:34" x14ac:dyDescent="0.15">
      <c r="AC260" s="158">
        <v>16594</v>
      </c>
      <c r="AD260" s="161">
        <v>22</v>
      </c>
      <c r="AE260" s="161">
        <v>1</v>
      </c>
      <c r="AF260" s="161">
        <v>19</v>
      </c>
      <c r="AG260" s="161">
        <v>4</v>
      </c>
      <c r="AH260" s="145"/>
    </row>
    <row r="261" spans="29:34" x14ac:dyDescent="0.15">
      <c r="AC261" s="158">
        <v>16625</v>
      </c>
      <c r="AD261" s="161">
        <v>22</v>
      </c>
      <c r="AE261" s="161">
        <v>1</v>
      </c>
      <c r="AF261" s="161">
        <v>20</v>
      </c>
      <c r="AG261" s="161">
        <v>3</v>
      </c>
      <c r="AH261" s="145"/>
    </row>
    <row r="262" spans="29:34" x14ac:dyDescent="0.15">
      <c r="AC262" s="158">
        <v>16657</v>
      </c>
      <c r="AD262" s="161">
        <v>22</v>
      </c>
      <c r="AE262" s="161">
        <v>1</v>
      </c>
      <c r="AF262" s="161">
        <v>21</v>
      </c>
      <c r="AG262" s="161">
        <v>2</v>
      </c>
      <c r="AH262" s="145"/>
    </row>
    <row r="263" spans="29:34" x14ac:dyDescent="0.15">
      <c r="AC263" s="158">
        <v>16688</v>
      </c>
      <c r="AD263" s="161">
        <v>22</v>
      </c>
      <c r="AE263" s="161">
        <v>1</v>
      </c>
      <c r="AF263" s="161">
        <v>22</v>
      </c>
      <c r="AG263" s="161">
        <v>1</v>
      </c>
      <c r="AH263" s="145"/>
    </row>
    <row r="264" spans="29:34" x14ac:dyDescent="0.15">
      <c r="AC264" s="158">
        <v>16719</v>
      </c>
      <c r="AD264" s="161">
        <v>22</v>
      </c>
      <c r="AE264" s="161">
        <v>1</v>
      </c>
      <c r="AF264" s="161">
        <v>23</v>
      </c>
      <c r="AG264" s="161">
        <v>9</v>
      </c>
      <c r="AH264" s="145"/>
    </row>
    <row r="265" spans="29:34" x14ac:dyDescent="0.15">
      <c r="AC265" s="158">
        <v>16749</v>
      </c>
      <c r="AD265" s="161">
        <v>22</v>
      </c>
      <c r="AE265" s="161">
        <v>1</v>
      </c>
      <c r="AF265" s="161">
        <v>24</v>
      </c>
      <c r="AG265" s="161">
        <v>8</v>
      </c>
      <c r="AH265" s="145"/>
    </row>
    <row r="266" spans="29:34" x14ac:dyDescent="0.15">
      <c r="AC266" s="158">
        <v>16778</v>
      </c>
      <c r="AD266" s="161">
        <v>22</v>
      </c>
      <c r="AE266" s="161">
        <v>1</v>
      </c>
      <c r="AF266" s="161">
        <v>25</v>
      </c>
      <c r="AG266" s="161">
        <v>7</v>
      </c>
      <c r="AH266" s="145"/>
    </row>
    <row r="267" spans="29:34" x14ac:dyDescent="0.15">
      <c r="AC267" s="158">
        <v>16808</v>
      </c>
      <c r="AD267" s="161">
        <v>22</v>
      </c>
      <c r="AE267" s="161">
        <v>1</v>
      </c>
      <c r="AF267" s="161">
        <v>26</v>
      </c>
      <c r="AG267" s="161">
        <v>6</v>
      </c>
      <c r="AH267" s="145"/>
    </row>
    <row r="268" spans="29:34" x14ac:dyDescent="0.15">
      <c r="AC268" s="159">
        <v>16837</v>
      </c>
      <c r="AD268" s="161">
        <v>23</v>
      </c>
      <c r="AE268" s="161">
        <v>9</v>
      </c>
      <c r="AF268" s="161">
        <v>27</v>
      </c>
      <c r="AG268" s="161">
        <v>5</v>
      </c>
      <c r="AH268" s="145"/>
    </row>
    <row r="269" spans="29:34" x14ac:dyDescent="0.15">
      <c r="AC269" s="159">
        <v>16867</v>
      </c>
      <c r="AD269" s="161">
        <v>23</v>
      </c>
      <c r="AE269" s="161">
        <v>9</v>
      </c>
      <c r="AF269" s="161">
        <v>28</v>
      </c>
      <c r="AG269" s="161">
        <v>4</v>
      </c>
      <c r="AH269" s="145"/>
    </row>
    <row r="270" spans="29:34" x14ac:dyDescent="0.15">
      <c r="AC270" s="159">
        <v>16897</v>
      </c>
      <c r="AD270" s="161">
        <v>23</v>
      </c>
      <c r="AE270" s="161">
        <v>9</v>
      </c>
      <c r="AF270" s="161">
        <v>29</v>
      </c>
      <c r="AG270" s="161">
        <v>3</v>
      </c>
      <c r="AH270" s="145"/>
    </row>
    <row r="271" spans="29:34" x14ac:dyDescent="0.15">
      <c r="AC271" s="159">
        <v>16928</v>
      </c>
      <c r="AD271" s="161">
        <v>23</v>
      </c>
      <c r="AE271" s="161">
        <v>9</v>
      </c>
      <c r="AF271" s="161">
        <v>30</v>
      </c>
      <c r="AG271" s="161">
        <v>2</v>
      </c>
      <c r="AH271" s="145"/>
    </row>
    <row r="272" spans="29:34" x14ac:dyDescent="0.15">
      <c r="AC272" s="159">
        <v>16959</v>
      </c>
      <c r="AD272" s="161">
        <v>23</v>
      </c>
      <c r="AE272" s="161">
        <v>9</v>
      </c>
      <c r="AF272" s="161">
        <v>31</v>
      </c>
      <c r="AG272" s="161">
        <v>1</v>
      </c>
      <c r="AH272" s="145"/>
    </row>
    <row r="273" spans="28:34" x14ac:dyDescent="0.15">
      <c r="AC273" s="159">
        <v>16991</v>
      </c>
      <c r="AD273" s="161">
        <v>23</v>
      </c>
      <c r="AE273" s="161">
        <v>9</v>
      </c>
      <c r="AF273" s="161">
        <v>32</v>
      </c>
      <c r="AG273" s="161">
        <v>9</v>
      </c>
      <c r="AH273" s="145"/>
    </row>
    <row r="274" spans="28:34" x14ac:dyDescent="0.15">
      <c r="AC274" s="159">
        <v>17022</v>
      </c>
      <c r="AD274" s="161">
        <v>23</v>
      </c>
      <c r="AE274" s="161">
        <v>9</v>
      </c>
      <c r="AF274" s="161">
        <v>33</v>
      </c>
      <c r="AG274" s="161">
        <v>8</v>
      </c>
      <c r="AH274" s="145"/>
    </row>
    <row r="275" spans="28:34" x14ac:dyDescent="0.15">
      <c r="AC275" s="159">
        <v>17053</v>
      </c>
      <c r="AD275" s="161">
        <v>23</v>
      </c>
      <c r="AE275" s="161">
        <v>9</v>
      </c>
      <c r="AF275" s="161">
        <v>34</v>
      </c>
      <c r="AG275" s="161">
        <v>7</v>
      </c>
      <c r="AH275" s="145"/>
    </row>
    <row r="276" spans="28:34" x14ac:dyDescent="0.15">
      <c r="AC276" s="159">
        <v>17084</v>
      </c>
      <c r="AD276" s="161">
        <v>23</v>
      </c>
      <c r="AE276" s="161">
        <v>9</v>
      </c>
      <c r="AF276" s="161">
        <v>35</v>
      </c>
      <c r="AG276" s="161">
        <v>6</v>
      </c>
      <c r="AH276" s="145"/>
    </row>
    <row r="277" spans="28:34" x14ac:dyDescent="0.15">
      <c r="AC277" s="159">
        <v>17114</v>
      </c>
      <c r="AD277" s="161">
        <v>23</v>
      </c>
      <c r="AE277" s="161">
        <v>9</v>
      </c>
      <c r="AF277" s="161">
        <v>36</v>
      </c>
      <c r="AG277" s="161">
        <v>5</v>
      </c>
      <c r="AH277" s="145"/>
    </row>
    <row r="278" spans="28:34" x14ac:dyDescent="0.15">
      <c r="AC278" s="159">
        <v>17144</v>
      </c>
      <c r="AD278" s="161">
        <v>23</v>
      </c>
      <c r="AE278" s="161">
        <v>9</v>
      </c>
      <c r="AF278" s="161">
        <v>37</v>
      </c>
      <c r="AG278" s="161">
        <v>4</v>
      </c>
      <c r="AH278" s="145"/>
    </row>
    <row r="279" spans="28:34" x14ac:dyDescent="0.15">
      <c r="AC279" s="159">
        <v>17173</v>
      </c>
      <c r="AD279" s="161">
        <v>23</v>
      </c>
      <c r="AE279" s="161">
        <v>9</v>
      </c>
      <c r="AF279" s="161">
        <v>38</v>
      </c>
      <c r="AG279" s="161">
        <v>3</v>
      </c>
      <c r="AH279" s="145"/>
    </row>
    <row r="280" spans="28:34" x14ac:dyDescent="0.15">
      <c r="AC280" s="159">
        <v>17203</v>
      </c>
      <c r="AD280" s="161">
        <v>24</v>
      </c>
      <c r="AE280" s="161">
        <v>8</v>
      </c>
      <c r="AF280" s="161">
        <v>39</v>
      </c>
      <c r="AG280" s="161">
        <v>2</v>
      </c>
      <c r="AH280" s="145"/>
    </row>
    <row r="281" spans="28:34" x14ac:dyDescent="0.15">
      <c r="AC281" s="159">
        <v>17232</v>
      </c>
      <c r="AD281" s="161">
        <v>24</v>
      </c>
      <c r="AE281" s="161">
        <v>8</v>
      </c>
      <c r="AF281" s="161">
        <v>40</v>
      </c>
      <c r="AG281" s="161">
        <v>1</v>
      </c>
      <c r="AH281" s="145"/>
    </row>
    <row r="282" spans="28:34" x14ac:dyDescent="0.15">
      <c r="AC282" s="159">
        <v>17263</v>
      </c>
      <c r="AD282" s="161">
        <v>24</v>
      </c>
      <c r="AE282" s="161">
        <v>8</v>
      </c>
      <c r="AF282" s="161">
        <v>41</v>
      </c>
      <c r="AG282" s="161">
        <v>9</v>
      </c>
      <c r="AH282" s="145"/>
    </row>
    <row r="283" spans="28:34" x14ac:dyDescent="0.15">
      <c r="AC283" s="159">
        <v>17293</v>
      </c>
      <c r="AD283" s="161">
        <v>24</v>
      </c>
      <c r="AE283" s="161">
        <v>8</v>
      </c>
      <c r="AF283" s="161">
        <v>42</v>
      </c>
      <c r="AG283" s="161">
        <v>8</v>
      </c>
      <c r="AH283" s="145"/>
    </row>
    <row r="284" spans="28:34" x14ac:dyDescent="0.15">
      <c r="AB284">
        <v>9</v>
      </c>
      <c r="AC284" s="159">
        <v>17324</v>
      </c>
      <c r="AD284" s="161">
        <v>24</v>
      </c>
      <c r="AE284" s="161">
        <v>8</v>
      </c>
      <c r="AF284" s="161">
        <v>43</v>
      </c>
      <c r="AG284" s="161">
        <v>7</v>
      </c>
      <c r="AH284" s="145"/>
    </row>
    <row r="285" spans="28:34" x14ac:dyDescent="0.15">
      <c r="AB285">
        <v>10</v>
      </c>
      <c r="AC285" s="159">
        <v>17356</v>
      </c>
      <c r="AD285" s="161">
        <v>24</v>
      </c>
      <c r="AE285" s="161">
        <v>8</v>
      </c>
      <c r="AF285" s="161">
        <v>44</v>
      </c>
      <c r="AG285" s="161">
        <v>6</v>
      </c>
      <c r="AH285" s="145"/>
    </row>
    <row r="286" spans="28:34" x14ac:dyDescent="0.15">
      <c r="AC286" s="159">
        <v>17387</v>
      </c>
      <c r="AD286" s="161">
        <v>24</v>
      </c>
      <c r="AE286" s="161">
        <v>8</v>
      </c>
      <c r="AF286" s="161">
        <v>45</v>
      </c>
      <c r="AG286" s="161">
        <v>5</v>
      </c>
      <c r="AH286" s="145"/>
    </row>
    <row r="287" spans="28:34" x14ac:dyDescent="0.15">
      <c r="AC287" s="159">
        <v>17418</v>
      </c>
      <c r="AD287" s="161">
        <v>24</v>
      </c>
      <c r="AE287" s="161">
        <v>8</v>
      </c>
      <c r="AF287" s="161">
        <v>46</v>
      </c>
      <c r="AG287" s="161">
        <v>4</v>
      </c>
      <c r="AH287" s="145"/>
    </row>
    <row r="288" spans="28:34" x14ac:dyDescent="0.15">
      <c r="AC288" s="159">
        <v>17449</v>
      </c>
      <c r="AD288" s="161">
        <v>24</v>
      </c>
      <c r="AE288" s="161">
        <v>8</v>
      </c>
      <c r="AF288" s="161">
        <v>47</v>
      </c>
      <c r="AG288" s="161">
        <v>3</v>
      </c>
      <c r="AH288" s="145"/>
    </row>
    <row r="289" spans="29:34" x14ac:dyDescent="0.15">
      <c r="AC289" s="159">
        <v>17479</v>
      </c>
      <c r="AD289" s="161">
        <v>24</v>
      </c>
      <c r="AE289" s="161">
        <v>8</v>
      </c>
      <c r="AF289" s="161">
        <v>48</v>
      </c>
      <c r="AG289" s="161">
        <v>2</v>
      </c>
      <c r="AH289" s="145"/>
    </row>
    <row r="290" spans="29:34" x14ac:dyDescent="0.15">
      <c r="AC290" s="159">
        <v>17509</v>
      </c>
      <c r="AD290" s="161">
        <v>24</v>
      </c>
      <c r="AE290" s="161">
        <v>8</v>
      </c>
      <c r="AF290" s="161">
        <v>49</v>
      </c>
      <c r="AG290" s="161">
        <v>1</v>
      </c>
      <c r="AH290" s="145"/>
    </row>
    <row r="291" spans="29:34" x14ac:dyDescent="0.15">
      <c r="AC291" s="159">
        <v>17538</v>
      </c>
      <c r="AD291" s="161">
        <v>24</v>
      </c>
      <c r="AE291" s="161">
        <v>8</v>
      </c>
      <c r="AF291" s="161">
        <v>50</v>
      </c>
      <c r="AG291" s="161">
        <v>9</v>
      </c>
      <c r="AH291" s="145"/>
    </row>
    <row r="292" spans="29:34" x14ac:dyDescent="0.15">
      <c r="AC292" s="159">
        <v>17568</v>
      </c>
      <c r="AD292" s="161">
        <v>25</v>
      </c>
      <c r="AE292" s="161">
        <v>7</v>
      </c>
      <c r="AF292" s="161">
        <v>51</v>
      </c>
      <c r="AG292" s="161">
        <v>8</v>
      </c>
      <c r="AH292" s="145"/>
    </row>
    <row r="293" spans="29:34" x14ac:dyDescent="0.15">
      <c r="AC293" s="159">
        <v>17598</v>
      </c>
      <c r="AD293" s="161">
        <v>25</v>
      </c>
      <c r="AE293" s="161">
        <v>7</v>
      </c>
      <c r="AF293" s="161">
        <v>52</v>
      </c>
      <c r="AG293" s="161">
        <v>7</v>
      </c>
      <c r="AH293" s="145"/>
    </row>
    <row r="294" spans="29:34" x14ac:dyDescent="0.15">
      <c r="AC294" s="159">
        <v>17628</v>
      </c>
      <c r="AD294" s="161">
        <v>25</v>
      </c>
      <c r="AE294" s="161">
        <v>7</v>
      </c>
      <c r="AF294" s="161">
        <v>53</v>
      </c>
      <c r="AG294" s="161">
        <v>6</v>
      </c>
      <c r="AH294" s="145"/>
    </row>
    <row r="295" spans="29:34" x14ac:dyDescent="0.15">
      <c r="AC295" s="159">
        <v>17658</v>
      </c>
      <c r="AD295" s="161">
        <v>25</v>
      </c>
      <c r="AE295" s="161">
        <v>7</v>
      </c>
      <c r="AF295" s="161">
        <v>54</v>
      </c>
      <c r="AG295" s="161">
        <v>5</v>
      </c>
      <c r="AH295" s="145"/>
    </row>
    <row r="296" spans="29:34" x14ac:dyDescent="0.15">
      <c r="AC296" s="159">
        <v>17690</v>
      </c>
      <c r="AD296" s="161">
        <v>25</v>
      </c>
      <c r="AE296" s="161">
        <v>7</v>
      </c>
      <c r="AF296" s="161">
        <v>55</v>
      </c>
      <c r="AG296" s="161">
        <v>4</v>
      </c>
      <c r="AH296" s="145"/>
    </row>
    <row r="297" spans="29:34" x14ac:dyDescent="0.15">
      <c r="AC297" s="159">
        <v>17721</v>
      </c>
      <c r="AD297" s="161">
        <v>25</v>
      </c>
      <c r="AE297" s="161">
        <v>7</v>
      </c>
      <c r="AF297" s="161">
        <v>56</v>
      </c>
      <c r="AG297" s="161">
        <v>3</v>
      </c>
      <c r="AH297" s="145"/>
    </row>
    <row r="298" spans="29:34" x14ac:dyDescent="0.15">
      <c r="AC298" s="159">
        <v>17753</v>
      </c>
      <c r="AD298" s="161">
        <v>25</v>
      </c>
      <c r="AE298" s="161">
        <v>7</v>
      </c>
      <c r="AF298" s="161">
        <v>57</v>
      </c>
      <c r="AG298" s="161">
        <v>2</v>
      </c>
      <c r="AH298" s="145"/>
    </row>
    <row r="299" spans="29:34" x14ac:dyDescent="0.15">
      <c r="AC299" s="159">
        <v>17784</v>
      </c>
      <c r="AD299" s="161">
        <v>25</v>
      </c>
      <c r="AE299" s="161">
        <v>7</v>
      </c>
      <c r="AF299" s="161">
        <v>58</v>
      </c>
      <c r="AG299" s="161">
        <v>1</v>
      </c>
      <c r="AH299" s="145"/>
    </row>
    <row r="300" spans="29:34" x14ac:dyDescent="0.15">
      <c r="AC300" s="159">
        <v>17814</v>
      </c>
      <c r="AD300" s="161">
        <v>25</v>
      </c>
      <c r="AE300" s="161">
        <v>7</v>
      </c>
      <c r="AF300" s="161">
        <v>59</v>
      </c>
      <c r="AG300" s="161">
        <v>9</v>
      </c>
      <c r="AH300" s="145"/>
    </row>
    <row r="301" spans="29:34" x14ac:dyDescent="0.15">
      <c r="AC301" s="159">
        <v>17844</v>
      </c>
      <c r="AD301" s="161">
        <v>25</v>
      </c>
      <c r="AE301" s="161">
        <v>7</v>
      </c>
      <c r="AF301" s="161">
        <v>60</v>
      </c>
      <c r="AG301" s="161">
        <v>8</v>
      </c>
      <c r="AH301" s="145"/>
    </row>
    <row r="302" spans="29:34" x14ac:dyDescent="0.15">
      <c r="AC302" s="159">
        <v>17874</v>
      </c>
      <c r="AD302" s="161">
        <v>25</v>
      </c>
      <c r="AE302" s="161">
        <v>7</v>
      </c>
      <c r="AF302" s="161">
        <v>1</v>
      </c>
      <c r="AG302" s="161">
        <v>7</v>
      </c>
      <c r="AH302" s="145"/>
    </row>
    <row r="303" spans="29:34" x14ac:dyDescent="0.15">
      <c r="AC303" s="159">
        <v>17904</v>
      </c>
      <c r="AD303" s="161">
        <v>25</v>
      </c>
      <c r="AE303" s="161">
        <v>7</v>
      </c>
      <c r="AF303" s="161">
        <v>2</v>
      </c>
      <c r="AG303" s="161">
        <v>6</v>
      </c>
      <c r="AH303" s="145"/>
    </row>
    <row r="304" spans="29:34" x14ac:dyDescent="0.15">
      <c r="AC304" s="159">
        <v>17933</v>
      </c>
      <c r="AD304" s="161">
        <v>26</v>
      </c>
      <c r="AE304" s="161">
        <v>6</v>
      </c>
      <c r="AF304" s="161">
        <v>3</v>
      </c>
      <c r="AG304" s="161">
        <v>5</v>
      </c>
      <c r="AH304" s="145"/>
    </row>
    <row r="305" spans="28:34" x14ac:dyDescent="0.15">
      <c r="AC305" s="159">
        <v>17963</v>
      </c>
      <c r="AD305" s="161">
        <v>26</v>
      </c>
      <c r="AE305" s="161">
        <v>6</v>
      </c>
      <c r="AF305" s="161">
        <v>4</v>
      </c>
      <c r="AG305" s="161">
        <v>4</v>
      </c>
      <c r="AH305" s="145"/>
    </row>
    <row r="306" spans="28:34" x14ac:dyDescent="0.15">
      <c r="AC306" s="159">
        <v>17993</v>
      </c>
      <c r="AD306" s="161">
        <v>26</v>
      </c>
      <c r="AE306" s="161">
        <v>6</v>
      </c>
      <c r="AF306" s="161">
        <v>5</v>
      </c>
      <c r="AG306" s="161">
        <v>3</v>
      </c>
      <c r="AH306" s="145"/>
    </row>
    <row r="307" spans="28:34" x14ac:dyDescent="0.15">
      <c r="AC307" s="159">
        <v>18024</v>
      </c>
      <c r="AD307" s="161">
        <v>26</v>
      </c>
      <c r="AE307" s="161">
        <v>6</v>
      </c>
      <c r="AF307" s="161">
        <v>6</v>
      </c>
      <c r="AG307" s="161">
        <v>2</v>
      </c>
      <c r="AH307" s="145"/>
    </row>
    <row r="308" spans="28:34" x14ac:dyDescent="0.15">
      <c r="AC308" s="159">
        <v>18055</v>
      </c>
      <c r="AD308" s="161">
        <v>26</v>
      </c>
      <c r="AE308" s="161">
        <v>6</v>
      </c>
      <c r="AF308" s="161">
        <v>7</v>
      </c>
      <c r="AG308" s="161">
        <v>1</v>
      </c>
      <c r="AH308" s="145"/>
    </row>
    <row r="309" spans="28:34" x14ac:dyDescent="0.15">
      <c r="AC309" s="159">
        <v>18086</v>
      </c>
      <c r="AD309" s="161">
        <v>26</v>
      </c>
      <c r="AE309" s="161">
        <v>6</v>
      </c>
      <c r="AF309" s="161">
        <v>8</v>
      </c>
      <c r="AG309" s="161">
        <v>9</v>
      </c>
      <c r="AH309" s="145"/>
    </row>
    <row r="310" spans="28:34" x14ac:dyDescent="0.15">
      <c r="AC310" s="159">
        <v>18118</v>
      </c>
      <c r="AD310" s="161">
        <v>26</v>
      </c>
      <c r="AE310" s="161">
        <v>6</v>
      </c>
      <c r="AF310" s="161">
        <v>9</v>
      </c>
      <c r="AG310" s="161">
        <v>8</v>
      </c>
      <c r="AH310" s="145"/>
    </row>
    <row r="311" spans="28:34" x14ac:dyDescent="0.15">
      <c r="AC311" s="159">
        <v>18149</v>
      </c>
      <c r="AD311" s="161">
        <v>26</v>
      </c>
      <c r="AE311" s="161">
        <v>6</v>
      </c>
      <c r="AF311" s="161">
        <v>10</v>
      </c>
      <c r="AG311" s="161">
        <v>7</v>
      </c>
      <c r="AH311" s="145"/>
    </row>
    <row r="312" spans="28:34" x14ac:dyDescent="0.15">
      <c r="AC312" s="159">
        <v>18180</v>
      </c>
      <c r="AD312" s="161">
        <v>26</v>
      </c>
      <c r="AE312" s="161">
        <v>6</v>
      </c>
      <c r="AF312" s="161">
        <v>11</v>
      </c>
      <c r="AG312" s="161">
        <v>6</v>
      </c>
      <c r="AH312" s="145"/>
    </row>
    <row r="313" spans="28:34" x14ac:dyDescent="0.15">
      <c r="AC313" s="159">
        <v>18210</v>
      </c>
      <c r="AD313" s="161">
        <v>26</v>
      </c>
      <c r="AE313" s="161">
        <v>6</v>
      </c>
      <c r="AF313" s="161">
        <v>12</v>
      </c>
      <c r="AG313" s="161">
        <v>5</v>
      </c>
      <c r="AH313" s="145"/>
    </row>
    <row r="314" spans="28:34" x14ac:dyDescent="0.15">
      <c r="AB314">
        <v>11</v>
      </c>
      <c r="AC314" s="159">
        <v>18239</v>
      </c>
      <c r="AD314" s="161">
        <v>26</v>
      </c>
      <c r="AE314" s="161">
        <v>6</v>
      </c>
      <c r="AF314" s="161">
        <v>13</v>
      </c>
      <c r="AG314" s="161">
        <v>4</v>
      </c>
      <c r="AH314" s="145"/>
    </row>
    <row r="315" spans="28:34" x14ac:dyDescent="0.15">
      <c r="AB315">
        <v>12</v>
      </c>
      <c r="AC315" s="159">
        <v>18269</v>
      </c>
      <c r="AD315" s="161">
        <v>26</v>
      </c>
      <c r="AE315" s="161">
        <v>6</v>
      </c>
      <c r="AF315" s="161">
        <v>14</v>
      </c>
      <c r="AG315" s="161">
        <v>3</v>
      </c>
      <c r="AH315" s="145"/>
    </row>
    <row r="316" spans="28:34" x14ac:dyDescent="0.15">
      <c r="AC316" s="159">
        <v>18298</v>
      </c>
      <c r="AD316" s="161">
        <v>27</v>
      </c>
      <c r="AE316" s="161">
        <v>5</v>
      </c>
      <c r="AF316" s="161">
        <v>15</v>
      </c>
      <c r="AG316" s="161">
        <v>2</v>
      </c>
      <c r="AH316" s="145"/>
    </row>
    <row r="317" spans="28:34" x14ac:dyDescent="0.15">
      <c r="AC317" s="159">
        <v>18328</v>
      </c>
      <c r="AD317" s="161">
        <v>27</v>
      </c>
      <c r="AE317" s="161">
        <v>5</v>
      </c>
      <c r="AF317" s="161">
        <v>16</v>
      </c>
      <c r="AG317" s="161">
        <v>1</v>
      </c>
      <c r="AH317" s="145"/>
    </row>
    <row r="318" spans="28:34" x14ac:dyDescent="0.15">
      <c r="AC318" s="159">
        <v>18358</v>
      </c>
      <c r="AD318" s="161">
        <v>27</v>
      </c>
      <c r="AE318" s="161">
        <v>5</v>
      </c>
      <c r="AF318" s="161">
        <v>17</v>
      </c>
      <c r="AG318" s="161">
        <v>9</v>
      </c>
      <c r="AH318" s="145"/>
    </row>
    <row r="319" spans="28:34" x14ac:dyDescent="0.15">
      <c r="AC319" s="159">
        <v>18389</v>
      </c>
      <c r="AD319" s="161">
        <v>27</v>
      </c>
      <c r="AE319" s="161">
        <v>5</v>
      </c>
      <c r="AF319" s="161">
        <v>18</v>
      </c>
      <c r="AG319" s="161">
        <v>8</v>
      </c>
      <c r="AH319" s="145"/>
    </row>
    <row r="320" spans="28:34" x14ac:dyDescent="0.15">
      <c r="AC320" s="159">
        <v>18420</v>
      </c>
      <c r="AD320" s="161">
        <v>27</v>
      </c>
      <c r="AE320" s="161">
        <v>5</v>
      </c>
      <c r="AF320" s="161">
        <v>19</v>
      </c>
      <c r="AG320" s="161">
        <v>7</v>
      </c>
      <c r="AH320" s="145"/>
    </row>
    <row r="321" spans="29:34" x14ac:dyDescent="0.15">
      <c r="AC321" s="159">
        <v>18452</v>
      </c>
      <c r="AD321" s="161">
        <v>27</v>
      </c>
      <c r="AE321" s="161">
        <v>5</v>
      </c>
      <c r="AF321" s="161">
        <v>20</v>
      </c>
      <c r="AG321" s="161">
        <v>6</v>
      </c>
      <c r="AH321" s="145"/>
    </row>
    <row r="322" spans="29:34" x14ac:dyDescent="0.15">
      <c r="AC322" s="159">
        <v>18483</v>
      </c>
      <c r="AD322" s="161">
        <v>27</v>
      </c>
      <c r="AE322" s="161">
        <v>5</v>
      </c>
      <c r="AF322" s="161">
        <v>21</v>
      </c>
      <c r="AG322" s="161">
        <v>5</v>
      </c>
      <c r="AH322" s="145"/>
    </row>
    <row r="323" spans="29:34" x14ac:dyDescent="0.15">
      <c r="AC323" s="159">
        <v>18514</v>
      </c>
      <c r="AD323" s="161">
        <v>27</v>
      </c>
      <c r="AE323" s="161">
        <v>5</v>
      </c>
      <c r="AF323" s="161">
        <v>22</v>
      </c>
      <c r="AG323" s="161">
        <v>4</v>
      </c>
      <c r="AH323" s="145"/>
    </row>
    <row r="324" spans="29:34" x14ac:dyDescent="0.15">
      <c r="AC324" s="159">
        <v>18545</v>
      </c>
      <c r="AD324" s="161">
        <v>27</v>
      </c>
      <c r="AE324" s="161">
        <v>5</v>
      </c>
      <c r="AF324" s="161">
        <v>23</v>
      </c>
      <c r="AG324" s="161">
        <v>3</v>
      </c>
      <c r="AH324" s="145"/>
    </row>
    <row r="325" spans="29:34" x14ac:dyDescent="0.15">
      <c r="AC325" s="159">
        <v>18575</v>
      </c>
      <c r="AD325" s="161">
        <v>27</v>
      </c>
      <c r="AE325" s="161">
        <v>5</v>
      </c>
      <c r="AF325" s="161">
        <v>24</v>
      </c>
      <c r="AG325" s="161">
        <v>2</v>
      </c>
      <c r="AH325" s="145"/>
    </row>
    <row r="326" spans="29:34" x14ac:dyDescent="0.15">
      <c r="AC326" s="159">
        <v>18605</v>
      </c>
      <c r="AD326" s="161">
        <v>27</v>
      </c>
      <c r="AE326" s="161">
        <v>5</v>
      </c>
      <c r="AF326" s="161">
        <v>25</v>
      </c>
      <c r="AG326" s="161">
        <v>1</v>
      </c>
      <c r="AH326" s="145"/>
    </row>
    <row r="327" spans="29:34" x14ac:dyDescent="0.15">
      <c r="AC327" s="159">
        <v>18634</v>
      </c>
      <c r="AD327" s="161">
        <v>27</v>
      </c>
      <c r="AE327" s="161">
        <v>5</v>
      </c>
      <c r="AF327" s="161">
        <v>26</v>
      </c>
      <c r="AG327" s="161">
        <v>9</v>
      </c>
      <c r="AH327" s="145"/>
    </row>
    <row r="328" spans="29:34" x14ac:dyDescent="0.15">
      <c r="AC328" s="159">
        <v>18664</v>
      </c>
      <c r="AD328" s="161">
        <v>28</v>
      </c>
      <c r="AE328" s="161">
        <v>4</v>
      </c>
      <c r="AF328" s="161">
        <v>27</v>
      </c>
      <c r="AG328" s="161">
        <v>8</v>
      </c>
      <c r="AH328" s="145"/>
    </row>
    <row r="329" spans="29:34" x14ac:dyDescent="0.15">
      <c r="AC329" s="159">
        <v>18693</v>
      </c>
      <c r="AD329" s="161">
        <v>28</v>
      </c>
      <c r="AE329" s="161">
        <v>4</v>
      </c>
      <c r="AF329" s="161">
        <v>28</v>
      </c>
      <c r="AG329" s="161">
        <v>7</v>
      </c>
      <c r="AH329" s="145"/>
    </row>
    <row r="330" spans="29:34" x14ac:dyDescent="0.15">
      <c r="AC330" s="159">
        <v>18723</v>
      </c>
      <c r="AD330" s="161">
        <v>28</v>
      </c>
      <c r="AE330" s="161">
        <v>4</v>
      </c>
      <c r="AF330" s="161">
        <v>29</v>
      </c>
      <c r="AG330" s="161">
        <v>6</v>
      </c>
      <c r="AH330" s="145"/>
    </row>
    <row r="331" spans="29:34" x14ac:dyDescent="0.15">
      <c r="AC331" s="159">
        <v>18754</v>
      </c>
      <c r="AD331" s="161">
        <v>28</v>
      </c>
      <c r="AE331" s="161">
        <v>4</v>
      </c>
      <c r="AF331" s="161">
        <v>30</v>
      </c>
      <c r="AG331" s="161">
        <v>5</v>
      </c>
      <c r="AH331" s="145"/>
    </row>
    <row r="332" spans="29:34" x14ac:dyDescent="0.15">
      <c r="AC332" s="159">
        <v>18785</v>
      </c>
      <c r="AD332" s="161">
        <v>28</v>
      </c>
      <c r="AE332" s="161">
        <v>4</v>
      </c>
      <c r="AF332" s="161">
        <v>31</v>
      </c>
      <c r="AG332" s="161">
        <v>4</v>
      </c>
      <c r="AH332" s="145"/>
    </row>
    <row r="333" spans="29:34" x14ac:dyDescent="0.15">
      <c r="AC333" s="159">
        <v>18817</v>
      </c>
      <c r="AD333" s="161">
        <v>28</v>
      </c>
      <c r="AE333" s="161">
        <v>4</v>
      </c>
      <c r="AF333" s="161">
        <v>32</v>
      </c>
      <c r="AG333" s="161">
        <v>3</v>
      </c>
      <c r="AH333" s="145"/>
    </row>
    <row r="334" spans="29:34" x14ac:dyDescent="0.15">
      <c r="AC334" s="159">
        <v>18848</v>
      </c>
      <c r="AD334" s="161">
        <v>28</v>
      </c>
      <c r="AE334" s="161">
        <v>4</v>
      </c>
      <c r="AF334" s="161">
        <v>33</v>
      </c>
      <c r="AG334" s="161">
        <v>2</v>
      </c>
      <c r="AH334" s="145"/>
    </row>
    <row r="335" spans="29:34" x14ac:dyDescent="0.15">
      <c r="AC335" s="159">
        <v>18879</v>
      </c>
      <c r="AD335" s="161">
        <v>28</v>
      </c>
      <c r="AE335" s="161">
        <v>4</v>
      </c>
      <c r="AF335" s="161">
        <v>34</v>
      </c>
      <c r="AG335" s="161">
        <v>1</v>
      </c>
      <c r="AH335" s="145"/>
    </row>
    <row r="336" spans="29:34" x14ac:dyDescent="0.15">
      <c r="AC336" s="159">
        <v>18910</v>
      </c>
      <c r="AD336" s="161">
        <v>28</v>
      </c>
      <c r="AE336" s="161">
        <v>4</v>
      </c>
      <c r="AF336" s="161">
        <v>35</v>
      </c>
      <c r="AG336" s="161">
        <v>9</v>
      </c>
      <c r="AH336" s="145"/>
    </row>
    <row r="337" spans="28:34" x14ac:dyDescent="0.15">
      <c r="AC337" s="159">
        <v>18940</v>
      </c>
      <c r="AD337" s="161">
        <v>28</v>
      </c>
      <c r="AE337" s="161">
        <v>4</v>
      </c>
      <c r="AF337" s="161">
        <v>36</v>
      </c>
      <c r="AG337" s="161">
        <v>8</v>
      </c>
      <c r="AH337" s="145"/>
    </row>
    <row r="338" spans="28:34" x14ac:dyDescent="0.15">
      <c r="AC338" s="159">
        <v>18970</v>
      </c>
      <c r="AD338" s="161">
        <v>28</v>
      </c>
      <c r="AE338" s="161">
        <v>4</v>
      </c>
      <c r="AF338" s="161">
        <v>37</v>
      </c>
      <c r="AG338" s="161">
        <v>7</v>
      </c>
      <c r="AH338" s="145"/>
    </row>
    <row r="339" spans="28:34" x14ac:dyDescent="0.15">
      <c r="AC339" s="159">
        <v>18999</v>
      </c>
      <c r="AD339" s="161">
        <v>28</v>
      </c>
      <c r="AE339" s="161">
        <v>4</v>
      </c>
      <c r="AF339" s="161">
        <v>38</v>
      </c>
      <c r="AG339" s="161">
        <v>6</v>
      </c>
      <c r="AH339" s="145"/>
    </row>
    <row r="340" spans="28:34" x14ac:dyDescent="0.15">
      <c r="AC340" s="159">
        <v>19029</v>
      </c>
      <c r="AD340" s="161">
        <v>29</v>
      </c>
      <c r="AE340" s="161">
        <v>3</v>
      </c>
      <c r="AF340" s="161">
        <v>39</v>
      </c>
      <c r="AG340" s="161">
        <v>5</v>
      </c>
      <c r="AH340" s="145"/>
    </row>
    <row r="341" spans="28:34" x14ac:dyDescent="0.15">
      <c r="AC341" s="159">
        <v>19059</v>
      </c>
      <c r="AD341" s="161">
        <v>29</v>
      </c>
      <c r="AE341" s="161">
        <v>3</v>
      </c>
      <c r="AF341" s="161">
        <v>40</v>
      </c>
      <c r="AG341" s="161">
        <v>4</v>
      </c>
      <c r="AH341" s="145"/>
    </row>
    <row r="342" spans="28:34" x14ac:dyDescent="0.15">
      <c r="AC342" s="159">
        <v>19089</v>
      </c>
      <c r="AD342" s="161">
        <v>29</v>
      </c>
      <c r="AE342" s="161">
        <v>3</v>
      </c>
      <c r="AF342" s="161">
        <v>41</v>
      </c>
      <c r="AG342" s="161">
        <v>3</v>
      </c>
      <c r="AH342" s="145"/>
    </row>
    <row r="343" spans="28:34" x14ac:dyDescent="0.15">
      <c r="AC343" s="159">
        <v>19119</v>
      </c>
      <c r="AD343" s="161">
        <v>29</v>
      </c>
      <c r="AE343" s="161">
        <v>3</v>
      </c>
      <c r="AF343" s="161">
        <v>42</v>
      </c>
      <c r="AG343" s="161">
        <v>2</v>
      </c>
      <c r="AH343" s="145"/>
    </row>
    <row r="344" spans="28:34" x14ac:dyDescent="0.15">
      <c r="AB344">
        <v>12</v>
      </c>
      <c r="AC344" s="159">
        <v>19151</v>
      </c>
      <c r="AD344" s="161">
        <v>29</v>
      </c>
      <c r="AE344" s="161">
        <v>3</v>
      </c>
      <c r="AF344" s="161">
        <v>43</v>
      </c>
      <c r="AG344" s="161">
        <v>1</v>
      </c>
      <c r="AH344" s="145"/>
    </row>
    <row r="345" spans="28:34" x14ac:dyDescent="0.15">
      <c r="AB345">
        <v>1</v>
      </c>
      <c r="AC345" s="159">
        <v>19182</v>
      </c>
      <c r="AD345" s="161">
        <v>29</v>
      </c>
      <c r="AE345" s="161">
        <v>3</v>
      </c>
      <c r="AF345" s="161">
        <v>44</v>
      </c>
      <c r="AG345" s="161">
        <v>9</v>
      </c>
      <c r="AH345" s="145"/>
    </row>
    <row r="346" spans="28:34" x14ac:dyDescent="0.15">
      <c r="AC346" s="159">
        <v>19213</v>
      </c>
      <c r="AD346" s="161">
        <v>29</v>
      </c>
      <c r="AE346" s="161">
        <v>3</v>
      </c>
      <c r="AF346" s="161">
        <v>45</v>
      </c>
      <c r="AG346" s="161">
        <v>8</v>
      </c>
      <c r="AH346" s="145"/>
    </row>
    <row r="347" spans="28:34" x14ac:dyDescent="0.15">
      <c r="AC347" s="159">
        <v>19245</v>
      </c>
      <c r="AD347" s="161">
        <v>29</v>
      </c>
      <c r="AE347" s="161">
        <v>3</v>
      </c>
      <c r="AF347" s="161">
        <v>46</v>
      </c>
      <c r="AG347" s="161">
        <v>7</v>
      </c>
      <c r="AH347" s="145"/>
    </row>
    <row r="348" spans="28:34" x14ac:dyDescent="0.15">
      <c r="AC348" s="159">
        <v>19275</v>
      </c>
      <c r="AD348" s="161">
        <v>29</v>
      </c>
      <c r="AE348" s="161">
        <v>3</v>
      </c>
      <c r="AF348" s="161">
        <v>47</v>
      </c>
      <c r="AG348" s="161">
        <v>6</v>
      </c>
      <c r="AH348" s="145"/>
    </row>
    <row r="349" spans="28:34" x14ac:dyDescent="0.15">
      <c r="AC349" s="159">
        <v>19305</v>
      </c>
      <c r="AD349" s="161">
        <v>29</v>
      </c>
      <c r="AE349" s="161">
        <v>3</v>
      </c>
      <c r="AF349" s="161">
        <v>48</v>
      </c>
      <c r="AG349" s="161">
        <v>5</v>
      </c>
      <c r="AH349" s="145"/>
    </row>
    <row r="350" spans="28:34" x14ac:dyDescent="0.15">
      <c r="AC350" s="159">
        <v>19335</v>
      </c>
      <c r="AD350" s="161">
        <v>29</v>
      </c>
      <c r="AE350" s="161">
        <v>3</v>
      </c>
      <c r="AF350" s="161">
        <v>49</v>
      </c>
      <c r="AG350" s="161">
        <v>4</v>
      </c>
      <c r="AH350" s="145"/>
    </row>
    <row r="351" spans="28:34" x14ac:dyDescent="0.15">
      <c r="AC351" s="159">
        <v>19365</v>
      </c>
      <c r="AD351" s="161">
        <v>29</v>
      </c>
      <c r="AE351" s="161">
        <v>3</v>
      </c>
      <c r="AF351" s="161">
        <v>50</v>
      </c>
      <c r="AG351" s="161">
        <v>3</v>
      </c>
      <c r="AH351" s="145"/>
    </row>
    <row r="352" spans="28:34" x14ac:dyDescent="0.15">
      <c r="AC352" s="159">
        <v>19394</v>
      </c>
      <c r="AD352" s="161">
        <v>30</v>
      </c>
      <c r="AE352" s="161">
        <v>2</v>
      </c>
      <c r="AF352" s="161">
        <v>51</v>
      </c>
      <c r="AG352" s="161">
        <v>2</v>
      </c>
      <c r="AH352" s="145"/>
    </row>
    <row r="353" spans="29:34" x14ac:dyDescent="0.15">
      <c r="AC353" s="159">
        <v>19424</v>
      </c>
      <c r="AD353" s="161">
        <v>30</v>
      </c>
      <c r="AE353" s="161">
        <v>2</v>
      </c>
      <c r="AF353" s="161">
        <v>52</v>
      </c>
      <c r="AG353" s="161">
        <v>1</v>
      </c>
      <c r="AH353" s="145"/>
    </row>
    <row r="354" spans="29:34" x14ac:dyDescent="0.15">
      <c r="AC354" s="159">
        <v>19454</v>
      </c>
      <c r="AD354" s="161">
        <v>30</v>
      </c>
      <c r="AE354" s="161">
        <v>2</v>
      </c>
      <c r="AF354" s="161">
        <v>53</v>
      </c>
      <c r="AG354" s="161">
        <v>9</v>
      </c>
      <c r="AH354" s="145"/>
    </row>
    <row r="355" spans="29:34" x14ac:dyDescent="0.15">
      <c r="AC355" s="159">
        <v>19485</v>
      </c>
      <c r="AD355" s="161">
        <v>30</v>
      </c>
      <c r="AE355" s="161">
        <v>2</v>
      </c>
      <c r="AF355" s="161">
        <v>54</v>
      </c>
      <c r="AG355" s="161">
        <v>8</v>
      </c>
      <c r="AH355" s="145"/>
    </row>
    <row r="356" spans="29:34" x14ac:dyDescent="0.15">
      <c r="AC356" s="159">
        <v>19516</v>
      </c>
      <c r="AD356" s="161">
        <v>30</v>
      </c>
      <c r="AE356" s="161">
        <v>2</v>
      </c>
      <c r="AF356" s="161">
        <v>55</v>
      </c>
      <c r="AG356" s="161">
        <v>7</v>
      </c>
      <c r="AH356" s="145"/>
    </row>
    <row r="357" spans="29:34" x14ac:dyDescent="0.15">
      <c r="AC357" s="159">
        <v>19547</v>
      </c>
      <c r="AD357" s="161">
        <v>30</v>
      </c>
      <c r="AE357" s="161">
        <v>2</v>
      </c>
      <c r="AF357" s="161">
        <v>56</v>
      </c>
      <c r="AG357" s="161">
        <v>6</v>
      </c>
      <c r="AH357" s="145"/>
    </row>
    <row r="358" spans="29:34" x14ac:dyDescent="0.15">
      <c r="AC358" s="159">
        <v>19579</v>
      </c>
      <c r="AD358" s="161">
        <v>30</v>
      </c>
      <c r="AE358" s="161">
        <v>2</v>
      </c>
      <c r="AF358" s="161">
        <v>57</v>
      </c>
      <c r="AG358" s="161">
        <v>5</v>
      </c>
      <c r="AH358" s="145"/>
    </row>
    <row r="359" spans="29:34" x14ac:dyDescent="0.15">
      <c r="AC359" s="159">
        <v>19610</v>
      </c>
      <c r="AD359" s="161">
        <v>30</v>
      </c>
      <c r="AE359" s="161">
        <v>2</v>
      </c>
      <c r="AF359" s="161">
        <v>58</v>
      </c>
      <c r="AG359" s="161">
        <v>4</v>
      </c>
      <c r="AH359" s="145"/>
    </row>
    <row r="360" spans="29:34" x14ac:dyDescent="0.15">
      <c r="AC360" s="159">
        <v>19640</v>
      </c>
      <c r="AD360" s="161">
        <v>30</v>
      </c>
      <c r="AE360" s="161">
        <v>2</v>
      </c>
      <c r="AF360" s="161">
        <v>59</v>
      </c>
      <c r="AG360" s="161">
        <v>3</v>
      </c>
      <c r="AH360" s="145"/>
    </row>
    <row r="361" spans="29:34" x14ac:dyDescent="0.15">
      <c r="AC361" s="159">
        <v>19671</v>
      </c>
      <c r="AD361" s="161">
        <v>30</v>
      </c>
      <c r="AE361" s="161">
        <v>2</v>
      </c>
      <c r="AF361" s="161">
        <v>60</v>
      </c>
      <c r="AG361" s="161">
        <v>2</v>
      </c>
      <c r="AH361" s="145"/>
    </row>
    <row r="362" spans="29:34" x14ac:dyDescent="0.15">
      <c r="AC362" s="159">
        <v>19700</v>
      </c>
      <c r="AD362" s="161">
        <v>30</v>
      </c>
      <c r="AE362" s="161">
        <v>2</v>
      </c>
      <c r="AF362" s="161">
        <v>1</v>
      </c>
      <c r="AG362" s="161">
        <v>1</v>
      </c>
      <c r="AH362" s="145"/>
    </row>
    <row r="363" spans="29:34" x14ac:dyDescent="0.15">
      <c r="AC363" s="159">
        <v>19730</v>
      </c>
      <c r="AD363" s="161">
        <v>30</v>
      </c>
      <c r="AE363" s="161">
        <v>2</v>
      </c>
      <c r="AF363" s="161">
        <v>2</v>
      </c>
      <c r="AG363" s="161">
        <v>9</v>
      </c>
      <c r="AH363" s="145"/>
    </row>
    <row r="364" spans="29:34" x14ac:dyDescent="0.15">
      <c r="AC364" s="159">
        <v>19759</v>
      </c>
      <c r="AD364" s="161">
        <v>31</v>
      </c>
      <c r="AE364" s="161">
        <v>1</v>
      </c>
      <c r="AF364" s="161">
        <v>3</v>
      </c>
      <c r="AG364" s="161">
        <v>8</v>
      </c>
      <c r="AH364" s="145"/>
    </row>
    <row r="365" spans="29:34" x14ac:dyDescent="0.15">
      <c r="AC365" s="159">
        <v>19789</v>
      </c>
      <c r="AD365" s="161">
        <v>31</v>
      </c>
      <c r="AE365" s="161">
        <v>1</v>
      </c>
      <c r="AF365" s="161">
        <v>4</v>
      </c>
      <c r="AG365" s="161">
        <v>7</v>
      </c>
      <c r="AH365" s="145"/>
    </row>
    <row r="366" spans="29:34" x14ac:dyDescent="0.15">
      <c r="AC366" s="159">
        <v>19819</v>
      </c>
      <c r="AD366" s="161">
        <v>31</v>
      </c>
      <c r="AE366" s="161">
        <v>1</v>
      </c>
      <c r="AF366" s="161">
        <v>5</v>
      </c>
      <c r="AG366" s="161">
        <v>6</v>
      </c>
      <c r="AH366" s="145"/>
    </row>
    <row r="367" spans="29:34" x14ac:dyDescent="0.15">
      <c r="AC367" s="159">
        <v>19850</v>
      </c>
      <c r="AD367" s="161">
        <v>31</v>
      </c>
      <c r="AE367" s="161">
        <v>1</v>
      </c>
      <c r="AF367" s="161">
        <v>6</v>
      </c>
      <c r="AG367" s="161">
        <v>5</v>
      </c>
      <c r="AH367" s="145"/>
    </row>
    <row r="368" spans="29:34" x14ac:dyDescent="0.15">
      <c r="AC368" s="159">
        <v>19881</v>
      </c>
      <c r="AD368" s="161">
        <v>31</v>
      </c>
      <c r="AE368" s="161">
        <v>1</v>
      </c>
      <c r="AF368" s="161">
        <v>7</v>
      </c>
      <c r="AG368" s="161">
        <v>4</v>
      </c>
      <c r="AH368" s="145"/>
    </row>
    <row r="369" spans="28:34" x14ac:dyDescent="0.15">
      <c r="AC369" s="159">
        <v>19913</v>
      </c>
      <c r="AD369" s="161">
        <v>31</v>
      </c>
      <c r="AE369" s="161">
        <v>1</v>
      </c>
      <c r="AF369" s="161">
        <v>8</v>
      </c>
      <c r="AG369" s="161">
        <v>3</v>
      </c>
      <c r="AH369" s="145"/>
    </row>
    <row r="370" spans="28:34" x14ac:dyDescent="0.15">
      <c r="AC370" s="159">
        <v>19944</v>
      </c>
      <c r="AD370" s="161">
        <v>31</v>
      </c>
      <c r="AE370" s="161">
        <v>1</v>
      </c>
      <c r="AF370" s="161">
        <v>9</v>
      </c>
      <c r="AG370" s="161">
        <v>2</v>
      </c>
      <c r="AH370" s="145"/>
    </row>
    <row r="371" spans="28:34" x14ac:dyDescent="0.15">
      <c r="AC371" s="159">
        <v>19975</v>
      </c>
      <c r="AD371" s="161">
        <v>31</v>
      </c>
      <c r="AE371" s="161">
        <v>1</v>
      </c>
      <c r="AF371" s="161">
        <v>10</v>
      </c>
      <c r="AG371" s="161">
        <v>1</v>
      </c>
      <c r="AH371" s="145"/>
    </row>
    <row r="372" spans="28:34" x14ac:dyDescent="0.15">
      <c r="AC372" s="159">
        <v>20006</v>
      </c>
      <c r="AD372" s="161">
        <v>31</v>
      </c>
      <c r="AE372" s="161">
        <v>1</v>
      </c>
      <c r="AF372" s="161">
        <v>11</v>
      </c>
      <c r="AG372" s="161">
        <v>9</v>
      </c>
      <c r="AH372" s="145"/>
    </row>
    <row r="373" spans="28:34" x14ac:dyDescent="0.15">
      <c r="AC373" s="159">
        <v>20036</v>
      </c>
      <c r="AD373" s="161">
        <v>31</v>
      </c>
      <c r="AE373" s="161">
        <v>1</v>
      </c>
      <c r="AF373" s="161">
        <v>12</v>
      </c>
      <c r="AG373" s="161">
        <v>8</v>
      </c>
      <c r="AH373" s="145"/>
    </row>
    <row r="374" spans="28:34" x14ac:dyDescent="0.15">
      <c r="AB374">
        <v>12</v>
      </c>
      <c r="AC374" s="159">
        <v>20066</v>
      </c>
      <c r="AD374" s="161">
        <v>31</v>
      </c>
      <c r="AE374" s="161">
        <v>1</v>
      </c>
      <c r="AF374" s="161">
        <v>13</v>
      </c>
      <c r="AG374" s="161">
        <v>7</v>
      </c>
      <c r="AH374" s="145"/>
    </row>
    <row r="375" spans="28:34" x14ac:dyDescent="0.15">
      <c r="AB375">
        <v>1</v>
      </c>
      <c r="AC375" s="159">
        <v>20095</v>
      </c>
      <c r="AD375" s="161">
        <v>31</v>
      </c>
      <c r="AE375" s="161">
        <v>1</v>
      </c>
      <c r="AF375" s="161">
        <v>14</v>
      </c>
      <c r="AG375" s="161">
        <v>6</v>
      </c>
      <c r="AH375" s="145"/>
    </row>
    <row r="376" spans="28:34" x14ac:dyDescent="0.15">
      <c r="AC376" s="159">
        <v>20124</v>
      </c>
      <c r="AD376" s="161">
        <v>32</v>
      </c>
      <c r="AE376" s="161">
        <v>9</v>
      </c>
      <c r="AF376" s="161">
        <v>15</v>
      </c>
      <c r="AG376" s="161">
        <v>5</v>
      </c>
      <c r="AH376" s="145"/>
    </row>
    <row r="377" spans="28:34" x14ac:dyDescent="0.15">
      <c r="AC377" s="159">
        <v>20154</v>
      </c>
      <c r="AD377" s="161">
        <v>32</v>
      </c>
      <c r="AE377" s="161">
        <v>9</v>
      </c>
      <c r="AF377" s="161">
        <v>16</v>
      </c>
      <c r="AG377" s="161">
        <v>4</v>
      </c>
      <c r="AH377" s="145"/>
    </row>
    <row r="378" spans="28:34" x14ac:dyDescent="0.15">
      <c r="AC378" s="159">
        <v>20184</v>
      </c>
      <c r="AD378" s="161">
        <v>32</v>
      </c>
      <c r="AE378" s="161">
        <v>9</v>
      </c>
      <c r="AF378" s="161">
        <v>17</v>
      </c>
      <c r="AG378" s="161">
        <v>3</v>
      </c>
      <c r="AH378" s="145"/>
    </row>
    <row r="379" spans="28:34" x14ac:dyDescent="0.15">
      <c r="AC379" s="159">
        <v>20215</v>
      </c>
      <c r="AD379" s="161">
        <v>32</v>
      </c>
      <c r="AE379" s="161">
        <v>9</v>
      </c>
      <c r="AF379" s="161">
        <v>18</v>
      </c>
      <c r="AG379" s="161">
        <v>2</v>
      </c>
      <c r="AH379" s="145"/>
    </row>
    <row r="380" spans="28:34" x14ac:dyDescent="0.15">
      <c r="AC380" s="159">
        <v>20246</v>
      </c>
      <c r="AD380" s="161">
        <v>32</v>
      </c>
      <c r="AE380" s="161">
        <v>9</v>
      </c>
      <c r="AF380" s="161">
        <v>19</v>
      </c>
      <c r="AG380" s="161">
        <v>1</v>
      </c>
      <c r="AH380" s="145"/>
    </row>
    <row r="381" spans="28:34" x14ac:dyDescent="0.15">
      <c r="AC381" s="159">
        <v>20278</v>
      </c>
      <c r="AD381" s="161">
        <v>32</v>
      </c>
      <c r="AE381" s="161">
        <v>9</v>
      </c>
      <c r="AF381" s="161">
        <v>20</v>
      </c>
      <c r="AG381" s="161">
        <v>9</v>
      </c>
      <c r="AH381" s="145"/>
    </row>
    <row r="382" spans="28:34" x14ac:dyDescent="0.15">
      <c r="AC382" s="159">
        <v>20309</v>
      </c>
      <c r="AD382" s="161">
        <v>32</v>
      </c>
      <c r="AE382" s="161">
        <v>9</v>
      </c>
      <c r="AF382" s="161">
        <v>21</v>
      </c>
      <c r="AG382" s="161">
        <v>8</v>
      </c>
      <c r="AH382" s="145"/>
    </row>
    <row r="383" spans="28:34" x14ac:dyDescent="0.15">
      <c r="AC383" s="159">
        <v>20340</v>
      </c>
      <c r="AD383" s="161">
        <v>32</v>
      </c>
      <c r="AE383" s="161">
        <v>9</v>
      </c>
      <c r="AF383" s="161">
        <v>22</v>
      </c>
      <c r="AG383" s="161">
        <v>7</v>
      </c>
      <c r="AH383" s="145"/>
    </row>
    <row r="384" spans="28:34" x14ac:dyDescent="0.15">
      <c r="AC384" s="159">
        <v>20371</v>
      </c>
      <c r="AD384" s="161">
        <v>32</v>
      </c>
      <c r="AE384" s="161">
        <v>9</v>
      </c>
      <c r="AF384" s="161">
        <v>23</v>
      </c>
      <c r="AG384" s="161">
        <v>6</v>
      </c>
      <c r="AH384" s="145"/>
    </row>
    <row r="385" spans="29:34" x14ac:dyDescent="0.15">
      <c r="AC385" s="159">
        <v>20401</v>
      </c>
      <c r="AD385" s="161">
        <v>32</v>
      </c>
      <c r="AE385" s="161">
        <v>9</v>
      </c>
      <c r="AF385" s="161">
        <v>24</v>
      </c>
      <c r="AG385" s="161">
        <v>5</v>
      </c>
      <c r="AH385" s="145"/>
    </row>
    <row r="386" spans="29:34" x14ac:dyDescent="0.15">
      <c r="AC386" s="159">
        <v>20431</v>
      </c>
      <c r="AD386" s="161">
        <v>32</v>
      </c>
      <c r="AE386" s="161">
        <v>9</v>
      </c>
      <c r="AF386" s="161">
        <v>25</v>
      </c>
      <c r="AG386" s="161">
        <v>4</v>
      </c>
      <c r="AH386" s="145"/>
    </row>
    <row r="387" spans="29:34" x14ac:dyDescent="0.15">
      <c r="AC387" s="159">
        <v>20460</v>
      </c>
      <c r="AD387" s="161">
        <v>32</v>
      </c>
      <c r="AE387" s="161">
        <v>9</v>
      </c>
      <c r="AF387" s="161">
        <v>26</v>
      </c>
      <c r="AG387" s="161">
        <v>3</v>
      </c>
      <c r="AH387" s="145"/>
    </row>
    <row r="388" spans="29:34" x14ac:dyDescent="0.15">
      <c r="AC388" s="159">
        <v>20490</v>
      </c>
      <c r="AD388" s="161">
        <v>33</v>
      </c>
      <c r="AE388" s="161">
        <v>8</v>
      </c>
      <c r="AF388" s="161">
        <v>27</v>
      </c>
      <c r="AG388" s="161">
        <v>2</v>
      </c>
      <c r="AH388" s="145"/>
    </row>
    <row r="389" spans="29:34" x14ac:dyDescent="0.15">
      <c r="AC389" s="159">
        <v>20519</v>
      </c>
      <c r="AD389" s="161">
        <v>33</v>
      </c>
      <c r="AE389" s="161">
        <v>8</v>
      </c>
      <c r="AF389" s="161">
        <v>28</v>
      </c>
      <c r="AG389" s="161">
        <v>1</v>
      </c>
      <c r="AH389" s="145"/>
    </row>
    <row r="390" spans="29:34" x14ac:dyDescent="0.15">
      <c r="AC390" s="159">
        <v>20550</v>
      </c>
      <c r="AD390" s="161">
        <v>33</v>
      </c>
      <c r="AE390" s="161">
        <v>8</v>
      </c>
      <c r="AF390" s="161">
        <v>29</v>
      </c>
      <c r="AG390" s="161">
        <v>9</v>
      </c>
      <c r="AH390" s="145"/>
    </row>
    <row r="391" spans="29:34" x14ac:dyDescent="0.15">
      <c r="AC391" s="159">
        <v>20580</v>
      </c>
      <c r="AD391" s="161">
        <v>33</v>
      </c>
      <c r="AE391" s="161">
        <v>8</v>
      </c>
      <c r="AF391" s="161">
        <v>30</v>
      </c>
      <c r="AG391" s="161">
        <v>8</v>
      </c>
      <c r="AH391" s="145"/>
    </row>
    <row r="392" spans="29:34" x14ac:dyDescent="0.15">
      <c r="AC392" s="159">
        <v>20612</v>
      </c>
      <c r="AD392" s="161">
        <v>33</v>
      </c>
      <c r="AE392" s="161">
        <v>8</v>
      </c>
      <c r="AF392" s="161">
        <v>31</v>
      </c>
      <c r="AG392" s="161">
        <v>7</v>
      </c>
      <c r="AH392" s="145"/>
    </row>
    <row r="393" spans="29:34" x14ac:dyDescent="0.15">
      <c r="AC393" s="159">
        <v>20643</v>
      </c>
      <c r="AD393" s="161">
        <v>33</v>
      </c>
      <c r="AE393" s="161">
        <v>8</v>
      </c>
      <c r="AF393" s="161">
        <v>32</v>
      </c>
      <c r="AG393" s="161">
        <v>6</v>
      </c>
      <c r="AH393" s="145"/>
    </row>
    <row r="394" spans="29:34" x14ac:dyDescent="0.15">
      <c r="AC394" s="159">
        <v>20674</v>
      </c>
      <c r="AD394" s="161">
        <v>33</v>
      </c>
      <c r="AE394" s="161">
        <v>8</v>
      </c>
      <c r="AF394" s="161">
        <v>33</v>
      </c>
      <c r="AG394" s="161">
        <v>5</v>
      </c>
      <c r="AH394" s="145"/>
    </row>
    <row r="395" spans="29:34" x14ac:dyDescent="0.15">
      <c r="AC395" s="159">
        <v>20706</v>
      </c>
      <c r="AD395" s="161">
        <v>33</v>
      </c>
      <c r="AE395" s="161">
        <v>8</v>
      </c>
      <c r="AF395" s="161">
        <v>34</v>
      </c>
      <c r="AG395" s="161">
        <v>4</v>
      </c>
      <c r="AH395" s="145"/>
    </row>
    <row r="396" spans="29:34" x14ac:dyDescent="0.15">
      <c r="AC396" s="159">
        <v>20736</v>
      </c>
      <c r="AD396" s="161">
        <v>33</v>
      </c>
      <c r="AE396" s="161">
        <v>8</v>
      </c>
      <c r="AF396" s="161">
        <v>35</v>
      </c>
      <c r="AG396" s="161">
        <v>3</v>
      </c>
      <c r="AH396" s="145"/>
    </row>
    <row r="397" spans="29:34" x14ac:dyDescent="0.15">
      <c r="AC397" s="159">
        <v>20766</v>
      </c>
      <c r="AD397" s="161">
        <v>33</v>
      </c>
      <c r="AE397" s="161">
        <v>8</v>
      </c>
      <c r="AF397" s="161">
        <v>36</v>
      </c>
      <c r="AG397" s="161">
        <v>2</v>
      </c>
      <c r="AH397" s="145"/>
    </row>
    <row r="398" spans="29:34" x14ac:dyDescent="0.15">
      <c r="AC398" s="159">
        <v>20796</v>
      </c>
      <c r="AD398" s="161">
        <v>33</v>
      </c>
      <c r="AE398" s="161">
        <v>8</v>
      </c>
      <c r="AF398" s="161">
        <v>37</v>
      </c>
      <c r="AG398" s="161">
        <v>1</v>
      </c>
      <c r="AH398" s="145"/>
    </row>
    <row r="399" spans="29:34" x14ac:dyDescent="0.15">
      <c r="AC399" s="159">
        <v>20825</v>
      </c>
      <c r="AD399" s="161">
        <v>33</v>
      </c>
      <c r="AE399" s="161">
        <v>8</v>
      </c>
      <c r="AF399" s="161">
        <v>38</v>
      </c>
      <c r="AG399" s="161">
        <v>9</v>
      </c>
      <c r="AH399" s="145"/>
    </row>
    <row r="400" spans="29:34" x14ac:dyDescent="0.15">
      <c r="AC400" s="159">
        <v>20855</v>
      </c>
      <c r="AD400" s="161">
        <v>34</v>
      </c>
      <c r="AE400" s="161">
        <v>7</v>
      </c>
      <c r="AF400" s="161">
        <v>39</v>
      </c>
      <c r="AG400" s="161">
        <v>8</v>
      </c>
      <c r="AH400" s="145"/>
    </row>
    <row r="401" spans="26:34" x14ac:dyDescent="0.15">
      <c r="AC401" s="159">
        <v>20885</v>
      </c>
      <c r="AD401" s="161">
        <v>34</v>
      </c>
      <c r="AE401" s="161">
        <v>7</v>
      </c>
      <c r="AF401" s="161">
        <v>40</v>
      </c>
      <c r="AG401" s="161">
        <v>7</v>
      </c>
      <c r="AH401" s="145"/>
    </row>
    <row r="402" spans="26:34" x14ac:dyDescent="0.15">
      <c r="AC402" s="159">
        <v>20915</v>
      </c>
      <c r="AD402" s="161">
        <v>34</v>
      </c>
      <c r="AE402" s="161">
        <v>7</v>
      </c>
      <c r="AF402" s="161">
        <v>41</v>
      </c>
      <c r="AG402" s="161">
        <v>6</v>
      </c>
      <c r="AH402" s="145"/>
    </row>
    <row r="403" spans="26:34" x14ac:dyDescent="0.15">
      <c r="Z403">
        <v>2014</v>
      </c>
      <c r="AB403">
        <v>1</v>
      </c>
      <c r="AC403" s="159">
        <v>20946</v>
      </c>
      <c r="AD403" s="161">
        <v>34</v>
      </c>
      <c r="AE403" s="161">
        <v>7</v>
      </c>
      <c r="AF403" s="161">
        <v>42</v>
      </c>
      <c r="AG403" s="161">
        <v>5</v>
      </c>
      <c r="AH403" s="145"/>
    </row>
    <row r="404" spans="26:34" x14ac:dyDescent="0.15">
      <c r="Z404">
        <v>2015</v>
      </c>
      <c r="AB404">
        <v>2</v>
      </c>
      <c r="AC404" s="159">
        <v>20977</v>
      </c>
      <c r="AD404" s="161">
        <v>34</v>
      </c>
      <c r="AE404" s="161">
        <v>7</v>
      </c>
      <c r="AF404" s="161">
        <v>43</v>
      </c>
      <c r="AG404" s="161">
        <v>4</v>
      </c>
      <c r="AH404" s="145"/>
    </row>
    <row r="405" spans="26:34" x14ac:dyDescent="0.15">
      <c r="AC405" s="159">
        <v>21008</v>
      </c>
      <c r="AD405" s="161">
        <v>34</v>
      </c>
      <c r="AE405" s="161">
        <v>7</v>
      </c>
      <c r="AF405" s="161">
        <v>44</v>
      </c>
      <c r="AG405" s="161">
        <v>3</v>
      </c>
      <c r="AH405" s="145"/>
    </row>
    <row r="406" spans="26:34" x14ac:dyDescent="0.15">
      <c r="AC406" s="159">
        <v>21040</v>
      </c>
      <c r="AD406" s="161">
        <v>34</v>
      </c>
      <c r="AE406" s="161">
        <v>7</v>
      </c>
      <c r="AF406" s="161">
        <v>45</v>
      </c>
      <c r="AG406" s="161">
        <v>2</v>
      </c>
      <c r="AH406" s="145"/>
    </row>
    <row r="407" spans="26:34" x14ac:dyDescent="0.15">
      <c r="AC407" s="159">
        <v>21071</v>
      </c>
      <c r="AD407" s="161">
        <v>34</v>
      </c>
      <c r="AE407" s="161">
        <v>7</v>
      </c>
      <c r="AF407" s="161">
        <v>46</v>
      </c>
      <c r="AG407" s="161">
        <v>1</v>
      </c>
      <c r="AH407" s="145"/>
    </row>
    <row r="408" spans="26:34" x14ac:dyDescent="0.15">
      <c r="AC408" s="159">
        <v>21101</v>
      </c>
      <c r="AD408" s="161">
        <v>34</v>
      </c>
      <c r="AE408" s="161">
        <v>7</v>
      </c>
      <c r="AF408" s="161">
        <v>47</v>
      </c>
      <c r="AG408" s="161">
        <v>9</v>
      </c>
      <c r="AH408" s="145"/>
    </row>
    <row r="409" spans="26:34" x14ac:dyDescent="0.15">
      <c r="AC409" s="159">
        <v>21132</v>
      </c>
      <c r="AD409" s="161">
        <v>34</v>
      </c>
      <c r="AE409" s="161">
        <v>7</v>
      </c>
      <c r="AF409" s="161">
        <v>48</v>
      </c>
      <c r="AG409" s="161">
        <v>8</v>
      </c>
      <c r="AH409" s="145"/>
    </row>
    <row r="410" spans="26:34" x14ac:dyDescent="0.15">
      <c r="AC410" s="159">
        <v>21161</v>
      </c>
      <c r="AD410" s="161">
        <v>34</v>
      </c>
      <c r="AE410" s="161">
        <v>7</v>
      </c>
      <c r="AF410" s="161">
        <v>49</v>
      </c>
      <c r="AG410" s="161">
        <v>7</v>
      </c>
      <c r="AH410" s="145"/>
    </row>
    <row r="411" spans="26:34" x14ac:dyDescent="0.15">
      <c r="AC411" s="159">
        <v>21191</v>
      </c>
      <c r="AD411" s="161">
        <v>34</v>
      </c>
      <c r="AE411" s="161">
        <v>7</v>
      </c>
      <c r="AF411" s="161">
        <v>50</v>
      </c>
      <c r="AG411" s="161">
        <v>6</v>
      </c>
      <c r="AH411" s="145"/>
    </row>
    <row r="412" spans="26:34" x14ac:dyDescent="0.15">
      <c r="AC412" s="159">
        <v>21220</v>
      </c>
      <c r="AD412" s="161">
        <v>35</v>
      </c>
      <c r="AE412" s="161">
        <v>6</v>
      </c>
      <c r="AF412" s="161">
        <v>51</v>
      </c>
      <c r="AG412" s="161">
        <v>5</v>
      </c>
      <c r="AH412" s="145"/>
    </row>
    <row r="413" spans="26:34" x14ac:dyDescent="0.15">
      <c r="AC413" s="159">
        <v>21250</v>
      </c>
      <c r="AD413" s="161">
        <v>35</v>
      </c>
      <c r="AE413" s="161">
        <v>6</v>
      </c>
      <c r="AF413" s="161">
        <v>52</v>
      </c>
      <c r="AG413" s="161">
        <v>4</v>
      </c>
      <c r="AH413" s="145"/>
    </row>
    <row r="414" spans="26:34" x14ac:dyDescent="0.15">
      <c r="AC414" s="159">
        <v>21280</v>
      </c>
      <c r="AD414" s="161">
        <v>35</v>
      </c>
      <c r="AE414" s="161">
        <v>6</v>
      </c>
      <c r="AF414" s="161">
        <v>53</v>
      </c>
      <c r="AG414" s="161">
        <v>3</v>
      </c>
      <c r="AH414" s="145"/>
    </row>
    <row r="415" spans="26:34" x14ac:dyDescent="0.15">
      <c r="AC415" s="159">
        <v>21311</v>
      </c>
      <c r="AD415" s="161">
        <v>35</v>
      </c>
      <c r="AE415" s="161">
        <v>6</v>
      </c>
      <c r="AF415" s="161">
        <v>54</v>
      </c>
      <c r="AG415" s="161">
        <v>2</v>
      </c>
      <c r="AH415" s="145"/>
    </row>
    <row r="416" spans="26:34" x14ac:dyDescent="0.15">
      <c r="AC416" s="159">
        <v>21342</v>
      </c>
      <c r="AD416" s="161">
        <v>35</v>
      </c>
      <c r="AE416" s="161">
        <v>6</v>
      </c>
      <c r="AF416" s="161">
        <v>55</v>
      </c>
      <c r="AG416" s="161">
        <v>1</v>
      </c>
      <c r="AH416" s="145"/>
    </row>
    <row r="417" spans="29:34" x14ac:dyDescent="0.15">
      <c r="AC417" s="159">
        <v>21374</v>
      </c>
      <c r="AD417" s="161">
        <v>35</v>
      </c>
      <c r="AE417" s="161">
        <v>6</v>
      </c>
      <c r="AF417" s="161">
        <v>56</v>
      </c>
      <c r="AG417" s="161">
        <v>9</v>
      </c>
      <c r="AH417" s="145"/>
    </row>
    <row r="418" spans="29:34" x14ac:dyDescent="0.15">
      <c r="AC418" s="159">
        <v>21405</v>
      </c>
      <c r="AD418" s="161">
        <v>35</v>
      </c>
      <c r="AE418" s="161">
        <v>6</v>
      </c>
      <c r="AF418" s="161">
        <v>57</v>
      </c>
      <c r="AG418" s="161">
        <v>8</v>
      </c>
      <c r="AH418" s="145"/>
    </row>
    <row r="419" spans="29:34" x14ac:dyDescent="0.15">
      <c r="AC419" s="159">
        <v>21436</v>
      </c>
      <c r="AD419" s="161">
        <v>35</v>
      </c>
      <c r="AE419" s="161">
        <v>6</v>
      </c>
      <c r="AF419" s="161">
        <v>58</v>
      </c>
      <c r="AG419" s="161">
        <v>7</v>
      </c>
      <c r="AH419" s="145"/>
    </row>
    <row r="420" spans="29:34" x14ac:dyDescent="0.15">
      <c r="AC420" s="159">
        <v>21467</v>
      </c>
      <c r="AD420" s="161">
        <v>35</v>
      </c>
      <c r="AE420" s="161">
        <v>6</v>
      </c>
      <c r="AF420" s="161">
        <v>59</v>
      </c>
      <c r="AG420" s="161">
        <v>6</v>
      </c>
      <c r="AH420" s="145"/>
    </row>
    <row r="421" spans="29:34" x14ac:dyDescent="0.15">
      <c r="AC421" s="159">
        <v>21497</v>
      </c>
      <c r="AD421" s="161">
        <v>35</v>
      </c>
      <c r="AE421" s="161">
        <v>6</v>
      </c>
      <c r="AF421" s="161">
        <v>60</v>
      </c>
      <c r="AG421" s="161">
        <v>5</v>
      </c>
      <c r="AH421" s="145"/>
    </row>
    <row r="422" spans="29:34" x14ac:dyDescent="0.15">
      <c r="AC422" s="159">
        <v>21526</v>
      </c>
      <c r="AD422" s="161">
        <v>35</v>
      </c>
      <c r="AE422" s="161">
        <v>6</v>
      </c>
      <c r="AF422" s="161">
        <v>1</v>
      </c>
      <c r="AG422" s="161">
        <v>4</v>
      </c>
      <c r="AH422" s="145"/>
    </row>
    <row r="423" spans="29:34" x14ac:dyDescent="0.15">
      <c r="AC423" s="159">
        <v>21556</v>
      </c>
      <c r="AD423" s="161">
        <v>35</v>
      </c>
      <c r="AE423" s="161">
        <v>6</v>
      </c>
      <c r="AF423" s="161">
        <v>2</v>
      </c>
      <c r="AG423" s="161">
        <v>3</v>
      </c>
      <c r="AH423" s="145"/>
    </row>
    <row r="424" spans="29:34" x14ac:dyDescent="0.15">
      <c r="AC424" s="159">
        <v>21585</v>
      </c>
      <c r="AD424" s="161">
        <v>36</v>
      </c>
      <c r="AE424" s="161">
        <v>5</v>
      </c>
      <c r="AF424" s="161">
        <v>3</v>
      </c>
      <c r="AG424" s="161">
        <v>2</v>
      </c>
      <c r="AH424" s="145"/>
    </row>
    <row r="425" spans="29:34" x14ac:dyDescent="0.15">
      <c r="AC425" s="159">
        <v>21615</v>
      </c>
      <c r="AD425" s="161">
        <v>36</v>
      </c>
      <c r="AE425" s="161">
        <v>5</v>
      </c>
      <c r="AF425" s="161">
        <v>4</v>
      </c>
      <c r="AG425" s="161">
        <v>1</v>
      </c>
      <c r="AH425" s="145"/>
    </row>
    <row r="426" spans="29:34" x14ac:dyDescent="0.15">
      <c r="AC426" s="159">
        <v>21645</v>
      </c>
      <c r="AD426" s="161">
        <v>36</v>
      </c>
      <c r="AE426" s="161">
        <v>5</v>
      </c>
      <c r="AF426" s="161">
        <v>5</v>
      </c>
      <c r="AG426" s="161">
        <v>9</v>
      </c>
      <c r="AH426" s="145"/>
    </row>
    <row r="427" spans="29:34" x14ac:dyDescent="0.15">
      <c r="AC427" s="159">
        <v>21676</v>
      </c>
      <c r="AD427" s="161">
        <v>36</v>
      </c>
      <c r="AE427" s="161">
        <v>5</v>
      </c>
      <c r="AF427" s="161">
        <v>6</v>
      </c>
      <c r="AG427" s="161">
        <v>8</v>
      </c>
      <c r="AH427" s="145"/>
    </row>
    <row r="428" spans="29:34" x14ac:dyDescent="0.15">
      <c r="AC428" s="159">
        <v>21707</v>
      </c>
      <c r="AD428" s="161">
        <v>36</v>
      </c>
      <c r="AE428" s="161">
        <v>5</v>
      </c>
      <c r="AF428" s="161">
        <v>7</v>
      </c>
      <c r="AG428" s="161">
        <v>7</v>
      </c>
      <c r="AH428" s="145"/>
    </row>
    <row r="429" spans="29:34" x14ac:dyDescent="0.15">
      <c r="AC429" s="159">
        <v>21739</v>
      </c>
      <c r="AD429" s="161">
        <v>36</v>
      </c>
      <c r="AE429" s="161">
        <v>5</v>
      </c>
      <c r="AF429" s="161">
        <v>8</v>
      </c>
      <c r="AG429" s="161">
        <v>6</v>
      </c>
      <c r="AH429" s="145"/>
    </row>
    <row r="430" spans="29:34" x14ac:dyDescent="0.15">
      <c r="AC430" s="159">
        <v>21770</v>
      </c>
      <c r="AD430" s="161">
        <v>36</v>
      </c>
      <c r="AE430" s="161">
        <v>5</v>
      </c>
      <c r="AF430" s="161">
        <v>9</v>
      </c>
      <c r="AG430" s="161">
        <v>5</v>
      </c>
      <c r="AH430" s="145"/>
    </row>
    <row r="431" spans="29:34" x14ac:dyDescent="0.15">
      <c r="AC431" s="159">
        <v>21801</v>
      </c>
      <c r="AD431" s="161">
        <v>36</v>
      </c>
      <c r="AE431" s="161">
        <v>5</v>
      </c>
      <c r="AF431" s="161">
        <v>10</v>
      </c>
      <c r="AG431" s="161">
        <v>4</v>
      </c>
      <c r="AH431" s="145"/>
    </row>
    <row r="432" spans="29:34" x14ac:dyDescent="0.15">
      <c r="AC432" s="159">
        <v>21832</v>
      </c>
      <c r="AD432" s="161">
        <v>36</v>
      </c>
      <c r="AE432" s="161">
        <v>5</v>
      </c>
      <c r="AF432" s="161">
        <v>11</v>
      </c>
      <c r="AG432" s="161">
        <v>3</v>
      </c>
      <c r="AH432" s="145"/>
    </row>
    <row r="433" spans="28:34" x14ac:dyDescent="0.15">
      <c r="AB433">
        <v>2</v>
      </c>
      <c r="AC433" s="159">
        <v>21862</v>
      </c>
      <c r="AD433" s="161">
        <v>36</v>
      </c>
      <c r="AE433" s="161">
        <v>5</v>
      </c>
      <c r="AF433" s="161">
        <v>12</v>
      </c>
      <c r="AG433" s="161">
        <v>2</v>
      </c>
      <c r="AH433" s="145"/>
    </row>
    <row r="434" spans="28:34" x14ac:dyDescent="0.15">
      <c r="AB434">
        <v>3</v>
      </c>
      <c r="AC434" s="159">
        <v>21892</v>
      </c>
      <c r="AD434" s="161">
        <v>36</v>
      </c>
      <c r="AE434" s="161">
        <v>5</v>
      </c>
      <c r="AF434" s="161">
        <v>13</v>
      </c>
      <c r="AG434" s="161">
        <v>1</v>
      </c>
      <c r="AH434" s="145"/>
    </row>
    <row r="435" spans="28:34" x14ac:dyDescent="0.15">
      <c r="AC435" s="159">
        <v>21921</v>
      </c>
      <c r="AD435" s="161">
        <v>36</v>
      </c>
      <c r="AE435" s="161">
        <v>5</v>
      </c>
      <c r="AF435" s="161">
        <v>14</v>
      </c>
      <c r="AG435" s="161">
        <v>9</v>
      </c>
      <c r="AH435" s="145"/>
    </row>
    <row r="436" spans="28:34" x14ac:dyDescent="0.15">
      <c r="AC436" s="159">
        <v>21951</v>
      </c>
      <c r="AD436" s="161">
        <v>37</v>
      </c>
      <c r="AE436" s="161">
        <v>4</v>
      </c>
      <c r="AF436" s="161">
        <v>15</v>
      </c>
      <c r="AG436" s="161">
        <v>8</v>
      </c>
      <c r="AH436" s="145"/>
    </row>
    <row r="437" spans="28:34" x14ac:dyDescent="0.15">
      <c r="AC437" s="159">
        <v>21980</v>
      </c>
      <c r="AD437" s="161">
        <v>37</v>
      </c>
      <c r="AE437" s="161">
        <v>4</v>
      </c>
      <c r="AF437" s="161">
        <v>16</v>
      </c>
      <c r="AG437" s="161">
        <v>7</v>
      </c>
      <c r="AH437" s="145"/>
    </row>
    <row r="438" spans="28:34" x14ac:dyDescent="0.15">
      <c r="AC438" s="159">
        <v>22011</v>
      </c>
      <c r="AD438" s="161">
        <v>37</v>
      </c>
      <c r="AE438" s="161">
        <v>4</v>
      </c>
      <c r="AF438" s="161">
        <v>17</v>
      </c>
      <c r="AG438" s="161">
        <v>6</v>
      </c>
      <c r="AH438" s="145"/>
    </row>
    <row r="439" spans="28:34" x14ac:dyDescent="0.15">
      <c r="AC439" s="159">
        <v>22041</v>
      </c>
      <c r="AD439" s="161">
        <v>37</v>
      </c>
      <c r="AE439" s="161">
        <v>4</v>
      </c>
      <c r="AF439" s="161">
        <v>18</v>
      </c>
      <c r="AG439" s="161">
        <v>5</v>
      </c>
      <c r="AH439" s="145"/>
    </row>
    <row r="440" spans="28:34" x14ac:dyDescent="0.15">
      <c r="AC440" s="159">
        <v>22073</v>
      </c>
      <c r="AD440" s="161">
        <v>37</v>
      </c>
      <c r="AE440" s="161">
        <v>4</v>
      </c>
      <c r="AF440" s="161">
        <v>19</v>
      </c>
      <c r="AG440" s="161">
        <v>4</v>
      </c>
      <c r="AH440" s="145"/>
    </row>
    <row r="441" spans="28:34" x14ac:dyDescent="0.15">
      <c r="AC441" s="159">
        <v>22104</v>
      </c>
      <c r="AD441" s="161">
        <v>37</v>
      </c>
      <c r="AE441" s="161">
        <v>4</v>
      </c>
      <c r="AF441" s="161">
        <v>20</v>
      </c>
      <c r="AG441" s="161">
        <v>3</v>
      </c>
      <c r="AH441" s="145"/>
    </row>
    <row r="442" spans="28:34" x14ac:dyDescent="0.15">
      <c r="AC442" s="159">
        <v>22135</v>
      </c>
      <c r="AD442" s="161">
        <v>37</v>
      </c>
      <c r="AE442" s="161">
        <v>4</v>
      </c>
      <c r="AF442" s="161">
        <v>21</v>
      </c>
      <c r="AG442" s="161">
        <v>2</v>
      </c>
      <c r="AH442" s="145"/>
    </row>
    <row r="443" spans="28:34" x14ac:dyDescent="0.15">
      <c r="AC443" s="159">
        <v>22167</v>
      </c>
      <c r="AD443" s="161">
        <v>37</v>
      </c>
      <c r="AE443" s="161">
        <v>4</v>
      </c>
      <c r="AF443" s="161">
        <v>22</v>
      </c>
      <c r="AG443" s="161">
        <v>1</v>
      </c>
      <c r="AH443" s="145"/>
    </row>
    <row r="444" spans="28:34" x14ac:dyDescent="0.15">
      <c r="AC444" s="159">
        <v>22197</v>
      </c>
      <c r="AD444" s="161">
        <v>37</v>
      </c>
      <c r="AE444" s="161">
        <v>4</v>
      </c>
      <c r="AF444" s="161">
        <v>23</v>
      </c>
      <c r="AG444" s="161">
        <v>9</v>
      </c>
      <c r="AH444" s="145"/>
    </row>
    <row r="445" spans="28:34" x14ac:dyDescent="0.15">
      <c r="AC445" s="159">
        <v>22227</v>
      </c>
      <c r="AD445" s="161">
        <v>37</v>
      </c>
      <c r="AE445" s="161">
        <v>4</v>
      </c>
      <c r="AF445" s="161">
        <v>24</v>
      </c>
      <c r="AG445" s="161">
        <v>8</v>
      </c>
      <c r="AH445" s="145"/>
    </row>
    <row r="446" spans="28:34" x14ac:dyDescent="0.15">
      <c r="AC446" s="159">
        <v>22257</v>
      </c>
      <c r="AD446" s="161">
        <v>37</v>
      </c>
      <c r="AE446" s="161">
        <v>4</v>
      </c>
      <c r="AF446" s="161">
        <v>25</v>
      </c>
      <c r="AG446" s="161">
        <v>7</v>
      </c>
      <c r="AH446" s="145"/>
    </row>
    <row r="447" spans="28:34" x14ac:dyDescent="0.15">
      <c r="AC447" s="159">
        <v>22286</v>
      </c>
      <c r="AD447" s="161">
        <v>37</v>
      </c>
      <c r="AE447" s="161">
        <v>4</v>
      </c>
      <c r="AF447" s="161">
        <v>26</v>
      </c>
      <c r="AG447" s="161">
        <v>6</v>
      </c>
      <c r="AH447" s="145"/>
    </row>
    <row r="448" spans="28:34" x14ac:dyDescent="0.15">
      <c r="AC448" s="159">
        <v>22316</v>
      </c>
      <c r="AD448" s="161">
        <v>38</v>
      </c>
      <c r="AE448" s="161">
        <v>3</v>
      </c>
      <c r="AF448" s="161">
        <v>27</v>
      </c>
      <c r="AG448" s="161">
        <v>5</v>
      </c>
      <c r="AH448" s="145"/>
    </row>
    <row r="449" spans="28:34" x14ac:dyDescent="0.15">
      <c r="AC449" s="159">
        <v>22346</v>
      </c>
      <c r="AD449" s="161">
        <v>38</v>
      </c>
      <c r="AE449" s="161">
        <v>3</v>
      </c>
      <c r="AF449" s="161">
        <v>28</v>
      </c>
      <c r="AG449" s="161">
        <v>4</v>
      </c>
      <c r="AH449" s="145"/>
    </row>
    <row r="450" spans="28:34" x14ac:dyDescent="0.15">
      <c r="AC450" s="159">
        <v>22376</v>
      </c>
      <c r="AD450" s="161">
        <v>38</v>
      </c>
      <c r="AE450" s="161">
        <v>3</v>
      </c>
      <c r="AF450" s="161">
        <v>29</v>
      </c>
      <c r="AG450" s="161">
        <v>3</v>
      </c>
      <c r="AH450" s="145"/>
    </row>
    <row r="451" spans="28:34" x14ac:dyDescent="0.15">
      <c r="AC451" s="159">
        <v>22407</v>
      </c>
      <c r="AD451" s="161">
        <v>38</v>
      </c>
      <c r="AE451" s="161">
        <v>3</v>
      </c>
      <c r="AF451" s="161">
        <v>30</v>
      </c>
      <c r="AG451" s="161">
        <v>2</v>
      </c>
      <c r="AH451" s="145"/>
    </row>
    <row r="452" spans="28:34" x14ac:dyDescent="0.15">
      <c r="AC452" s="159">
        <v>22438</v>
      </c>
      <c r="AD452" s="161">
        <v>38</v>
      </c>
      <c r="AE452" s="161">
        <v>3</v>
      </c>
      <c r="AF452" s="161">
        <v>31</v>
      </c>
      <c r="AG452" s="161">
        <v>1</v>
      </c>
      <c r="AH452" s="145"/>
    </row>
    <row r="453" spans="28:34" x14ac:dyDescent="0.15">
      <c r="AC453" s="159">
        <v>22469</v>
      </c>
      <c r="AD453" s="161">
        <v>38</v>
      </c>
      <c r="AE453" s="161">
        <v>3</v>
      </c>
      <c r="AF453" s="161">
        <v>32</v>
      </c>
      <c r="AG453" s="161">
        <v>9</v>
      </c>
      <c r="AH453" s="145"/>
    </row>
    <row r="454" spans="28:34" x14ac:dyDescent="0.15">
      <c r="AC454" s="159">
        <v>22501</v>
      </c>
      <c r="AD454" s="161">
        <v>38</v>
      </c>
      <c r="AE454" s="161">
        <v>3</v>
      </c>
      <c r="AF454" s="161">
        <v>33</v>
      </c>
      <c r="AG454" s="161">
        <v>8</v>
      </c>
      <c r="AH454" s="145"/>
    </row>
    <row r="455" spans="28:34" x14ac:dyDescent="0.15">
      <c r="AC455" s="159">
        <v>22532</v>
      </c>
      <c r="AD455" s="161">
        <v>38</v>
      </c>
      <c r="AE455" s="161">
        <v>3</v>
      </c>
      <c r="AF455" s="161">
        <v>34</v>
      </c>
      <c r="AG455" s="161">
        <v>7</v>
      </c>
      <c r="AH455" s="145"/>
    </row>
    <row r="456" spans="28:34" x14ac:dyDescent="0.15">
      <c r="AC456" s="159">
        <v>22562</v>
      </c>
      <c r="AD456" s="161">
        <v>38</v>
      </c>
      <c r="AE456" s="161">
        <v>3</v>
      </c>
      <c r="AF456" s="161">
        <v>35</v>
      </c>
      <c r="AG456" s="161">
        <v>6</v>
      </c>
      <c r="AH456" s="145"/>
    </row>
    <row r="457" spans="28:34" x14ac:dyDescent="0.15">
      <c r="AC457" s="159">
        <v>22593</v>
      </c>
      <c r="AD457" s="161">
        <v>38</v>
      </c>
      <c r="AE457" s="161">
        <v>3</v>
      </c>
      <c r="AF457" s="161">
        <v>36</v>
      </c>
      <c r="AG457" s="161">
        <v>5</v>
      </c>
      <c r="AH457" s="145"/>
    </row>
    <row r="458" spans="28:34" x14ac:dyDescent="0.15">
      <c r="AC458" s="159">
        <v>22622</v>
      </c>
      <c r="AD458" s="161">
        <v>38</v>
      </c>
      <c r="AE458" s="161">
        <v>3</v>
      </c>
      <c r="AF458" s="161">
        <v>37</v>
      </c>
      <c r="AG458" s="161">
        <v>4</v>
      </c>
      <c r="AH458" s="145"/>
    </row>
    <row r="459" spans="28:34" x14ac:dyDescent="0.15">
      <c r="AC459" s="159">
        <v>22652</v>
      </c>
      <c r="AD459" s="161">
        <v>38</v>
      </c>
      <c r="AE459" s="161">
        <v>3</v>
      </c>
      <c r="AF459" s="161">
        <v>38</v>
      </c>
      <c r="AG459" s="161">
        <v>3</v>
      </c>
      <c r="AH459" s="145"/>
    </row>
    <row r="460" spans="28:34" x14ac:dyDescent="0.15">
      <c r="AC460" s="159">
        <v>22681</v>
      </c>
      <c r="AD460" s="161">
        <v>39</v>
      </c>
      <c r="AE460" s="161">
        <v>2</v>
      </c>
      <c r="AF460" s="161">
        <v>39</v>
      </c>
      <c r="AG460" s="161">
        <v>2</v>
      </c>
      <c r="AH460" s="145"/>
    </row>
    <row r="461" spans="28:34" x14ac:dyDescent="0.15">
      <c r="AC461" s="159">
        <v>22711</v>
      </c>
      <c r="AD461" s="161">
        <v>39</v>
      </c>
      <c r="AE461" s="161">
        <v>2</v>
      </c>
      <c r="AF461" s="161">
        <v>40</v>
      </c>
      <c r="AG461" s="161">
        <v>1</v>
      </c>
      <c r="AH461" s="145"/>
    </row>
    <row r="462" spans="28:34" x14ac:dyDescent="0.15">
      <c r="AC462" s="159">
        <v>22741</v>
      </c>
      <c r="AD462" s="161">
        <v>39</v>
      </c>
      <c r="AE462" s="161">
        <v>2</v>
      </c>
      <c r="AF462" s="161">
        <v>41</v>
      </c>
      <c r="AG462" s="161">
        <v>9</v>
      </c>
      <c r="AH462" s="145"/>
    </row>
    <row r="463" spans="28:34" x14ac:dyDescent="0.15">
      <c r="AB463">
        <v>3</v>
      </c>
      <c r="AC463" s="159">
        <v>22772</v>
      </c>
      <c r="AD463" s="161">
        <v>39</v>
      </c>
      <c r="AE463" s="161">
        <v>2</v>
      </c>
      <c r="AF463" s="161">
        <v>42</v>
      </c>
      <c r="AG463" s="161">
        <v>8</v>
      </c>
      <c r="AH463" s="145"/>
    </row>
    <row r="464" spans="28:34" x14ac:dyDescent="0.15">
      <c r="AB464">
        <v>4</v>
      </c>
      <c r="AC464" s="159">
        <v>22803</v>
      </c>
      <c r="AD464" s="161">
        <v>39</v>
      </c>
      <c r="AE464" s="161">
        <v>2</v>
      </c>
      <c r="AF464" s="161">
        <v>43</v>
      </c>
      <c r="AG464" s="161">
        <v>7</v>
      </c>
      <c r="AH464" s="145"/>
    </row>
    <row r="465" spans="29:34" x14ac:dyDescent="0.15">
      <c r="AC465" s="159">
        <v>22834</v>
      </c>
      <c r="AD465" s="161">
        <v>39</v>
      </c>
      <c r="AE465" s="161">
        <v>2</v>
      </c>
      <c r="AF465" s="161">
        <v>44</v>
      </c>
      <c r="AG465" s="161">
        <v>6</v>
      </c>
      <c r="AH465" s="145"/>
    </row>
    <row r="466" spans="29:34" x14ac:dyDescent="0.15">
      <c r="AC466" s="159">
        <v>22866</v>
      </c>
      <c r="AD466" s="161">
        <v>39</v>
      </c>
      <c r="AE466" s="161">
        <v>2</v>
      </c>
      <c r="AF466" s="161">
        <v>45</v>
      </c>
      <c r="AG466" s="161">
        <v>5</v>
      </c>
      <c r="AH466" s="145"/>
    </row>
    <row r="467" spans="29:34" x14ac:dyDescent="0.15">
      <c r="AC467" s="159">
        <v>22897</v>
      </c>
      <c r="AD467" s="161">
        <v>39</v>
      </c>
      <c r="AE467" s="161">
        <v>2</v>
      </c>
      <c r="AF467" s="161">
        <v>46</v>
      </c>
      <c r="AG467" s="161">
        <v>4</v>
      </c>
      <c r="AH467" s="145"/>
    </row>
    <row r="468" spans="29:34" x14ac:dyDescent="0.15">
      <c r="AC468" s="159">
        <v>22928</v>
      </c>
      <c r="AD468" s="161">
        <v>39</v>
      </c>
      <c r="AE468" s="161">
        <v>2</v>
      </c>
      <c r="AF468" s="161">
        <v>47</v>
      </c>
      <c r="AG468" s="161">
        <v>3</v>
      </c>
      <c r="AH468" s="145"/>
    </row>
    <row r="469" spans="29:34" x14ac:dyDescent="0.15">
      <c r="AC469" s="159">
        <v>22958</v>
      </c>
      <c r="AD469" s="161">
        <v>39</v>
      </c>
      <c r="AE469" s="161">
        <v>2</v>
      </c>
      <c r="AF469" s="161">
        <v>48</v>
      </c>
      <c r="AG469" s="161">
        <v>2</v>
      </c>
      <c r="AH469" s="145"/>
    </row>
    <row r="470" spans="29:34" x14ac:dyDescent="0.15">
      <c r="AC470" s="159">
        <v>22987</v>
      </c>
      <c r="AD470" s="161">
        <v>39</v>
      </c>
      <c r="AE470" s="161">
        <v>2</v>
      </c>
      <c r="AF470" s="161">
        <v>49</v>
      </c>
      <c r="AG470" s="161">
        <v>1</v>
      </c>
      <c r="AH470" s="145"/>
    </row>
    <row r="471" spans="29:34" x14ac:dyDescent="0.15">
      <c r="AC471" s="159">
        <v>23017</v>
      </c>
      <c r="AD471" s="161">
        <v>39</v>
      </c>
      <c r="AE471" s="161">
        <v>2</v>
      </c>
      <c r="AF471" s="161">
        <v>50</v>
      </c>
      <c r="AG471" s="161">
        <v>9</v>
      </c>
      <c r="AH471" s="145"/>
    </row>
    <row r="472" spans="29:34" x14ac:dyDescent="0.15">
      <c r="AC472" s="159">
        <v>23046</v>
      </c>
      <c r="AD472" s="161">
        <v>40</v>
      </c>
      <c r="AE472" s="161">
        <v>1</v>
      </c>
      <c r="AF472" s="161">
        <v>51</v>
      </c>
      <c r="AG472" s="161">
        <v>8</v>
      </c>
      <c r="AH472" s="145"/>
    </row>
    <row r="473" spans="29:34" x14ac:dyDescent="0.15">
      <c r="AC473" s="159">
        <v>23076</v>
      </c>
      <c r="AD473" s="161">
        <v>40</v>
      </c>
      <c r="AE473" s="161">
        <v>1</v>
      </c>
      <c r="AF473" s="161">
        <v>52</v>
      </c>
      <c r="AG473" s="161">
        <v>7</v>
      </c>
      <c r="AH473" s="145"/>
    </row>
    <row r="474" spans="29:34" x14ac:dyDescent="0.15">
      <c r="AC474" s="159">
        <v>23106</v>
      </c>
      <c r="AD474" s="161">
        <v>40</v>
      </c>
      <c r="AE474" s="161">
        <v>1</v>
      </c>
      <c r="AF474" s="161">
        <v>53</v>
      </c>
      <c r="AG474" s="161">
        <v>6</v>
      </c>
      <c r="AH474" s="145"/>
    </row>
    <row r="475" spans="29:34" x14ac:dyDescent="0.15">
      <c r="AC475" s="159">
        <v>23137</v>
      </c>
      <c r="AD475" s="161">
        <v>40</v>
      </c>
      <c r="AE475" s="161">
        <v>1</v>
      </c>
      <c r="AF475" s="161">
        <v>54</v>
      </c>
      <c r="AG475" s="161">
        <v>5</v>
      </c>
      <c r="AH475" s="145"/>
    </row>
    <row r="476" spans="29:34" x14ac:dyDescent="0.15">
      <c r="AC476" s="159">
        <v>23168</v>
      </c>
      <c r="AD476" s="161">
        <v>40</v>
      </c>
      <c r="AE476" s="161">
        <v>1</v>
      </c>
      <c r="AF476" s="161">
        <v>55</v>
      </c>
      <c r="AG476" s="161">
        <v>4</v>
      </c>
      <c r="AH476" s="145"/>
    </row>
    <row r="477" spans="29:34" x14ac:dyDescent="0.15">
      <c r="AC477" s="159">
        <v>23200</v>
      </c>
      <c r="AD477" s="161">
        <v>40</v>
      </c>
      <c r="AE477" s="161">
        <v>1</v>
      </c>
      <c r="AF477" s="161">
        <v>56</v>
      </c>
      <c r="AG477" s="161">
        <v>3</v>
      </c>
      <c r="AH477" s="145"/>
    </row>
    <row r="478" spans="29:34" x14ac:dyDescent="0.15">
      <c r="AC478" s="159">
        <v>23231</v>
      </c>
      <c r="AD478" s="161">
        <v>40</v>
      </c>
      <c r="AE478" s="161">
        <v>1</v>
      </c>
      <c r="AF478" s="161">
        <v>57</v>
      </c>
      <c r="AG478" s="161">
        <v>2</v>
      </c>
      <c r="AH478" s="145"/>
    </row>
    <row r="479" spans="29:34" x14ac:dyDescent="0.15">
      <c r="AC479" s="159">
        <v>23262</v>
      </c>
      <c r="AD479" s="161">
        <v>40</v>
      </c>
      <c r="AE479" s="161">
        <v>1</v>
      </c>
      <c r="AF479" s="161">
        <v>58</v>
      </c>
      <c r="AG479" s="161">
        <v>1</v>
      </c>
      <c r="AH479" s="145"/>
    </row>
    <row r="480" spans="29:34" x14ac:dyDescent="0.15">
      <c r="AC480" s="159">
        <v>23293</v>
      </c>
      <c r="AD480" s="161">
        <v>40</v>
      </c>
      <c r="AE480" s="161">
        <v>1</v>
      </c>
      <c r="AF480" s="161">
        <v>59</v>
      </c>
      <c r="AG480" s="161">
        <v>9</v>
      </c>
      <c r="AH480" s="145"/>
    </row>
    <row r="481" spans="28:34" x14ac:dyDescent="0.15">
      <c r="AC481" s="159">
        <v>23323</v>
      </c>
      <c r="AD481" s="161">
        <v>40</v>
      </c>
      <c r="AE481" s="161">
        <v>1</v>
      </c>
      <c r="AF481" s="161">
        <v>60</v>
      </c>
      <c r="AG481" s="161">
        <v>8</v>
      </c>
      <c r="AH481" s="145"/>
    </row>
    <row r="482" spans="28:34" x14ac:dyDescent="0.15">
      <c r="AC482" s="159">
        <v>23353</v>
      </c>
      <c r="AD482" s="161">
        <v>40</v>
      </c>
      <c r="AE482" s="161">
        <v>1</v>
      </c>
      <c r="AF482" s="161">
        <v>1</v>
      </c>
      <c r="AG482" s="161">
        <v>7</v>
      </c>
      <c r="AH482" s="145"/>
    </row>
    <row r="483" spans="28:34" x14ac:dyDescent="0.15">
      <c r="AC483" s="159">
        <v>23382</v>
      </c>
      <c r="AD483" s="161">
        <v>40</v>
      </c>
      <c r="AE483" s="161">
        <v>1</v>
      </c>
      <c r="AF483" s="161">
        <v>2</v>
      </c>
      <c r="AG483" s="161">
        <v>6</v>
      </c>
      <c r="AH483" s="145"/>
    </row>
    <row r="484" spans="28:34" x14ac:dyDescent="0.15">
      <c r="AC484" s="159">
        <v>23412</v>
      </c>
      <c r="AD484" s="161">
        <v>41</v>
      </c>
      <c r="AE484" s="161">
        <v>9</v>
      </c>
      <c r="AF484" s="161">
        <v>3</v>
      </c>
      <c r="AG484" s="161">
        <v>5</v>
      </c>
      <c r="AH484" s="145"/>
    </row>
    <row r="485" spans="28:34" x14ac:dyDescent="0.15">
      <c r="AC485" s="159">
        <v>23441</v>
      </c>
      <c r="AD485" s="161">
        <v>41</v>
      </c>
      <c r="AE485" s="161">
        <v>9</v>
      </c>
      <c r="AF485" s="161">
        <v>4</v>
      </c>
      <c r="AG485" s="161">
        <v>4</v>
      </c>
      <c r="AH485" s="145"/>
    </row>
    <row r="486" spans="28:34" x14ac:dyDescent="0.15">
      <c r="AC486" s="159">
        <v>23472</v>
      </c>
      <c r="AD486" s="161">
        <v>41</v>
      </c>
      <c r="AE486" s="161">
        <v>9</v>
      </c>
      <c r="AF486" s="161">
        <v>5</v>
      </c>
      <c r="AG486" s="161">
        <v>3</v>
      </c>
      <c r="AH486" s="145"/>
    </row>
    <row r="487" spans="28:34" x14ac:dyDescent="0.15">
      <c r="AC487" s="159">
        <v>23502</v>
      </c>
      <c r="AD487" s="161">
        <v>41</v>
      </c>
      <c r="AE487" s="161">
        <v>9</v>
      </c>
      <c r="AF487" s="161">
        <v>6</v>
      </c>
      <c r="AG487" s="161">
        <v>2</v>
      </c>
      <c r="AH487" s="145"/>
    </row>
    <row r="488" spans="28:34" x14ac:dyDescent="0.15">
      <c r="AC488" s="159">
        <v>23534</v>
      </c>
      <c r="AD488" s="161">
        <v>41</v>
      </c>
      <c r="AE488" s="161">
        <v>9</v>
      </c>
      <c r="AF488" s="161">
        <v>7</v>
      </c>
      <c r="AG488" s="161">
        <v>1</v>
      </c>
      <c r="AH488" s="145"/>
    </row>
    <row r="489" spans="28:34" x14ac:dyDescent="0.15">
      <c r="AC489" s="159">
        <v>23565</v>
      </c>
      <c r="AD489" s="161">
        <v>41</v>
      </c>
      <c r="AE489" s="161">
        <v>9</v>
      </c>
      <c r="AF489" s="161">
        <v>8</v>
      </c>
      <c r="AG489" s="161">
        <v>9</v>
      </c>
      <c r="AH489" s="145"/>
    </row>
    <row r="490" spans="28:34" x14ac:dyDescent="0.15">
      <c r="AC490" s="159">
        <v>23596</v>
      </c>
      <c r="AD490" s="161">
        <v>41</v>
      </c>
      <c r="AE490" s="161">
        <v>9</v>
      </c>
      <c r="AF490" s="161">
        <v>9</v>
      </c>
      <c r="AG490" s="161">
        <v>8</v>
      </c>
      <c r="AH490" s="145"/>
    </row>
    <row r="491" spans="28:34" x14ac:dyDescent="0.15">
      <c r="AC491" s="159">
        <v>23627</v>
      </c>
      <c r="AD491" s="161">
        <v>41</v>
      </c>
      <c r="AE491" s="161">
        <v>9</v>
      </c>
      <c r="AF491" s="161">
        <v>10</v>
      </c>
      <c r="AG491" s="161">
        <v>7</v>
      </c>
      <c r="AH491" s="145"/>
    </row>
    <row r="492" spans="28:34" x14ac:dyDescent="0.15">
      <c r="AC492" s="159">
        <v>23658</v>
      </c>
      <c r="AD492" s="161">
        <v>41</v>
      </c>
      <c r="AE492" s="161">
        <v>9</v>
      </c>
      <c r="AF492" s="161">
        <v>11</v>
      </c>
      <c r="AG492" s="161">
        <v>6</v>
      </c>
      <c r="AH492" s="145"/>
    </row>
    <row r="493" spans="28:34" x14ac:dyDescent="0.15">
      <c r="AC493" s="159">
        <v>23688</v>
      </c>
      <c r="AD493" s="161">
        <v>41</v>
      </c>
      <c r="AE493" s="161">
        <v>9</v>
      </c>
      <c r="AF493" s="161">
        <v>12</v>
      </c>
      <c r="AG493" s="161">
        <v>5</v>
      </c>
      <c r="AH493" s="145"/>
    </row>
    <row r="494" spans="28:34" x14ac:dyDescent="0.15">
      <c r="AB494">
        <v>4</v>
      </c>
      <c r="AC494" s="159">
        <v>23718</v>
      </c>
      <c r="AD494" s="161">
        <v>41</v>
      </c>
      <c r="AE494" s="161">
        <v>9</v>
      </c>
      <c r="AF494" s="161">
        <v>13</v>
      </c>
      <c r="AG494" s="161">
        <v>4</v>
      </c>
      <c r="AH494" s="145"/>
    </row>
    <row r="495" spans="28:34" x14ac:dyDescent="0.15">
      <c r="AB495">
        <v>5</v>
      </c>
      <c r="AC495" s="159">
        <v>23747</v>
      </c>
      <c r="AD495" s="161">
        <v>41</v>
      </c>
      <c r="AE495" s="161">
        <v>9</v>
      </c>
      <c r="AF495" s="161">
        <v>14</v>
      </c>
      <c r="AG495" s="161">
        <v>3</v>
      </c>
      <c r="AH495" s="145"/>
    </row>
    <row r="496" spans="28:34" x14ac:dyDescent="0.15">
      <c r="AC496" s="159">
        <v>23777</v>
      </c>
      <c r="AD496" s="161">
        <v>42</v>
      </c>
      <c r="AE496" s="161">
        <v>8</v>
      </c>
      <c r="AF496" s="161">
        <v>15</v>
      </c>
      <c r="AG496" s="161">
        <v>2</v>
      </c>
      <c r="AH496" s="145"/>
    </row>
    <row r="497" spans="29:34" x14ac:dyDescent="0.15">
      <c r="AC497" s="159">
        <v>23807</v>
      </c>
      <c r="AD497" s="161">
        <v>42</v>
      </c>
      <c r="AE497" s="161">
        <v>8</v>
      </c>
      <c r="AF497" s="161">
        <v>16</v>
      </c>
      <c r="AG497" s="161">
        <v>1</v>
      </c>
      <c r="AH497" s="145"/>
    </row>
    <row r="498" spans="29:34" x14ac:dyDescent="0.15">
      <c r="AC498" s="159">
        <v>23837</v>
      </c>
      <c r="AD498" s="161">
        <v>42</v>
      </c>
      <c r="AE498" s="161">
        <v>8</v>
      </c>
      <c r="AF498" s="161">
        <v>17</v>
      </c>
      <c r="AG498" s="161">
        <v>9</v>
      </c>
      <c r="AH498" s="145"/>
    </row>
    <row r="499" spans="29:34" x14ac:dyDescent="0.15">
      <c r="AC499" s="159">
        <v>23868</v>
      </c>
      <c r="AD499" s="161">
        <v>42</v>
      </c>
      <c r="AE499" s="161">
        <v>8</v>
      </c>
      <c r="AF499" s="161">
        <v>18</v>
      </c>
      <c r="AG499" s="161">
        <v>8</v>
      </c>
      <c r="AH499" s="145"/>
    </row>
    <row r="500" spans="29:34" x14ac:dyDescent="0.15">
      <c r="AC500" s="159">
        <v>23899</v>
      </c>
      <c r="AD500" s="161">
        <v>42</v>
      </c>
      <c r="AE500" s="161">
        <v>8</v>
      </c>
      <c r="AF500" s="161">
        <v>19</v>
      </c>
      <c r="AG500" s="161">
        <v>7</v>
      </c>
      <c r="AH500" s="145"/>
    </row>
    <row r="501" spans="29:34" x14ac:dyDescent="0.15">
      <c r="AC501" s="159">
        <v>23930</v>
      </c>
      <c r="AD501" s="161">
        <v>42</v>
      </c>
      <c r="AE501" s="161">
        <v>8</v>
      </c>
      <c r="AF501" s="161">
        <v>20</v>
      </c>
      <c r="AG501" s="161">
        <v>6</v>
      </c>
      <c r="AH501" s="145"/>
    </row>
    <row r="502" spans="29:34" x14ac:dyDescent="0.15">
      <c r="AC502" s="159">
        <v>23962</v>
      </c>
      <c r="AD502" s="161">
        <v>42</v>
      </c>
      <c r="AE502" s="161">
        <v>8</v>
      </c>
      <c r="AF502" s="161">
        <v>21</v>
      </c>
      <c r="AG502" s="161">
        <v>5</v>
      </c>
      <c r="AH502" s="145"/>
    </row>
    <row r="503" spans="29:34" x14ac:dyDescent="0.15">
      <c r="AC503" s="159">
        <v>23993</v>
      </c>
      <c r="AD503" s="161">
        <v>42</v>
      </c>
      <c r="AE503" s="161">
        <v>8</v>
      </c>
      <c r="AF503" s="161">
        <v>22</v>
      </c>
      <c r="AG503" s="161">
        <v>4</v>
      </c>
      <c r="AH503" s="145"/>
    </row>
    <row r="504" spans="29:34" x14ac:dyDescent="0.15">
      <c r="AC504" s="159">
        <v>24023</v>
      </c>
      <c r="AD504" s="161">
        <v>42</v>
      </c>
      <c r="AE504" s="161">
        <v>8</v>
      </c>
      <c r="AF504" s="161">
        <v>23</v>
      </c>
      <c r="AG504" s="161">
        <v>3</v>
      </c>
      <c r="AH504" s="145"/>
    </row>
    <row r="505" spans="29:34" x14ac:dyDescent="0.15">
      <c r="AC505" s="159">
        <v>24054</v>
      </c>
      <c r="AD505" s="161">
        <v>42</v>
      </c>
      <c r="AE505" s="161">
        <v>8</v>
      </c>
      <c r="AF505" s="161">
        <v>24</v>
      </c>
      <c r="AG505" s="161">
        <v>2</v>
      </c>
      <c r="AH505" s="145"/>
    </row>
    <row r="506" spans="29:34" x14ac:dyDescent="0.15">
      <c r="AC506" s="159">
        <v>24083</v>
      </c>
      <c r="AD506" s="161">
        <v>42</v>
      </c>
      <c r="AE506" s="161">
        <v>8</v>
      </c>
      <c r="AF506" s="161">
        <v>25</v>
      </c>
      <c r="AG506" s="161">
        <v>1</v>
      </c>
      <c r="AH506" s="145"/>
    </row>
    <row r="507" spans="29:34" x14ac:dyDescent="0.15">
      <c r="AC507" s="159">
        <v>24113</v>
      </c>
      <c r="AD507" s="161">
        <v>42</v>
      </c>
      <c r="AE507" s="161">
        <v>8</v>
      </c>
      <c r="AF507" s="161">
        <v>26</v>
      </c>
      <c r="AG507" s="161">
        <v>9</v>
      </c>
      <c r="AH507" s="145"/>
    </row>
    <row r="508" spans="29:34" x14ac:dyDescent="0.15">
      <c r="AC508" s="159">
        <v>24142</v>
      </c>
      <c r="AD508" s="161">
        <v>43</v>
      </c>
      <c r="AE508" s="161">
        <v>7</v>
      </c>
      <c r="AF508" s="161">
        <v>27</v>
      </c>
      <c r="AG508" s="161">
        <v>8</v>
      </c>
      <c r="AH508" s="145"/>
    </row>
    <row r="509" spans="29:34" x14ac:dyDescent="0.15">
      <c r="AC509" s="159">
        <v>24172</v>
      </c>
      <c r="AD509" s="161">
        <v>43</v>
      </c>
      <c r="AE509" s="161">
        <v>7</v>
      </c>
      <c r="AF509" s="161">
        <v>28</v>
      </c>
      <c r="AG509" s="161">
        <v>7</v>
      </c>
      <c r="AH509" s="145"/>
    </row>
    <row r="510" spans="29:34" x14ac:dyDescent="0.15">
      <c r="AC510" s="159">
        <v>24202</v>
      </c>
      <c r="AD510" s="161">
        <v>43</v>
      </c>
      <c r="AE510" s="161">
        <v>7</v>
      </c>
      <c r="AF510" s="161">
        <v>29</v>
      </c>
      <c r="AG510" s="161">
        <v>6</v>
      </c>
      <c r="AH510" s="145"/>
    </row>
    <row r="511" spans="29:34" x14ac:dyDescent="0.15">
      <c r="AC511" s="159">
        <v>24233</v>
      </c>
      <c r="AD511" s="161">
        <v>43</v>
      </c>
      <c r="AE511" s="161">
        <v>7</v>
      </c>
      <c r="AF511" s="161">
        <v>30</v>
      </c>
      <c r="AG511" s="161">
        <v>5</v>
      </c>
      <c r="AH511" s="145"/>
    </row>
    <row r="512" spans="29:34" x14ac:dyDescent="0.15">
      <c r="AC512" s="159">
        <v>24264</v>
      </c>
      <c r="AD512" s="161">
        <v>43</v>
      </c>
      <c r="AE512" s="161">
        <v>7</v>
      </c>
      <c r="AF512" s="161">
        <v>31</v>
      </c>
      <c r="AG512" s="161">
        <v>4</v>
      </c>
      <c r="AH512" s="145"/>
    </row>
    <row r="513" spans="28:34" x14ac:dyDescent="0.15">
      <c r="AC513" s="159">
        <v>24295</v>
      </c>
      <c r="AD513" s="161">
        <v>43</v>
      </c>
      <c r="AE513" s="161">
        <v>7</v>
      </c>
      <c r="AF513" s="161">
        <v>32</v>
      </c>
      <c r="AG513" s="161">
        <v>3</v>
      </c>
      <c r="AH513" s="145"/>
    </row>
    <row r="514" spans="28:34" x14ac:dyDescent="0.15">
      <c r="AC514" s="159">
        <v>24327</v>
      </c>
      <c r="AD514" s="161">
        <v>43</v>
      </c>
      <c r="AE514" s="161">
        <v>7</v>
      </c>
      <c r="AF514" s="161">
        <v>33</v>
      </c>
      <c r="AG514" s="161">
        <v>2</v>
      </c>
      <c r="AH514" s="145"/>
    </row>
    <row r="515" spans="28:34" x14ac:dyDescent="0.15">
      <c r="AC515" s="159">
        <v>24358</v>
      </c>
      <c r="AD515" s="161">
        <v>43</v>
      </c>
      <c r="AE515" s="161">
        <v>7</v>
      </c>
      <c r="AF515" s="161">
        <v>34</v>
      </c>
      <c r="AG515" s="161">
        <v>1</v>
      </c>
      <c r="AH515" s="145"/>
    </row>
    <row r="516" spans="28:34" x14ac:dyDescent="0.15">
      <c r="AC516" s="159">
        <v>24389</v>
      </c>
      <c r="AD516" s="161">
        <v>43</v>
      </c>
      <c r="AE516" s="161">
        <v>7</v>
      </c>
      <c r="AF516" s="161">
        <v>35</v>
      </c>
      <c r="AG516" s="161">
        <v>9</v>
      </c>
      <c r="AH516" s="145"/>
    </row>
    <row r="517" spans="28:34" x14ac:dyDescent="0.15">
      <c r="AC517" s="159">
        <v>24419</v>
      </c>
      <c r="AD517" s="161">
        <v>43</v>
      </c>
      <c r="AE517" s="161">
        <v>7</v>
      </c>
      <c r="AF517" s="161">
        <v>36</v>
      </c>
      <c r="AG517" s="161">
        <v>8</v>
      </c>
      <c r="AH517" s="145"/>
    </row>
    <row r="518" spans="28:34" x14ac:dyDescent="0.15">
      <c r="AC518" s="159">
        <v>24448</v>
      </c>
      <c r="AD518" s="161">
        <v>43</v>
      </c>
      <c r="AE518" s="161">
        <v>7</v>
      </c>
      <c r="AF518" s="161">
        <v>37</v>
      </c>
      <c r="AG518" s="161">
        <v>7</v>
      </c>
      <c r="AH518" s="145"/>
    </row>
    <row r="519" spans="28:34" x14ac:dyDescent="0.15">
      <c r="AC519" s="159">
        <v>24478</v>
      </c>
      <c r="AD519" s="161">
        <v>43</v>
      </c>
      <c r="AE519" s="161">
        <v>7</v>
      </c>
      <c r="AF519" s="161">
        <v>38</v>
      </c>
      <c r="AG519" s="161">
        <v>6</v>
      </c>
      <c r="AH519" s="145"/>
    </row>
    <row r="520" spans="28:34" x14ac:dyDescent="0.15">
      <c r="AC520" s="159">
        <v>24507</v>
      </c>
      <c r="AD520" s="161">
        <v>44</v>
      </c>
      <c r="AE520" s="161">
        <v>6</v>
      </c>
      <c r="AF520" s="161">
        <v>39</v>
      </c>
      <c r="AG520" s="161">
        <v>5</v>
      </c>
      <c r="AH520" s="145"/>
    </row>
    <row r="521" spans="28:34" x14ac:dyDescent="0.15">
      <c r="AC521" s="159">
        <v>24537</v>
      </c>
      <c r="AD521" s="161">
        <v>44</v>
      </c>
      <c r="AE521" s="161">
        <v>6</v>
      </c>
      <c r="AF521" s="161">
        <v>40</v>
      </c>
      <c r="AG521" s="161">
        <v>4</v>
      </c>
      <c r="AH521" s="145"/>
    </row>
    <row r="522" spans="28:34" x14ac:dyDescent="0.15">
      <c r="AC522" s="159">
        <v>24567</v>
      </c>
      <c r="AD522" s="161">
        <v>44</v>
      </c>
      <c r="AE522" s="161">
        <v>6</v>
      </c>
      <c r="AF522" s="161">
        <v>41</v>
      </c>
      <c r="AG522" s="161">
        <v>3</v>
      </c>
      <c r="AH522" s="145"/>
    </row>
    <row r="523" spans="28:34" x14ac:dyDescent="0.15">
      <c r="AC523" s="159">
        <v>24598</v>
      </c>
      <c r="AD523" s="161">
        <v>44</v>
      </c>
      <c r="AE523" s="161">
        <v>6</v>
      </c>
      <c r="AF523" s="161">
        <v>42</v>
      </c>
      <c r="AG523" s="161">
        <v>2</v>
      </c>
      <c r="AH523" s="145"/>
    </row>
    <row r="524" spans="28:34" x14ac:dyDescent="0.15">
      <c r="AC524" s="159">
        <v>24629</v>
      </c>
      <c r="AD524" s="161">
        <v>44</v>
      </c>
      <c r="AE524" s="161">
        <v>6</v>
      </c>
      <c r="AF524" s="161">
        <v>43</v>
      </c>
      <c r="AG524" s="161">
        <v>1</v>
      </c>
      <c r="AH524" s="145"/>
    </row>
    <row r="525" spans="28:34" x14ac:dyDescent="0.15">
      <c r="AB525">
        <v>5</v>
      </c>
      <c r="AC525" s="159">
        <v>24661</v>
      </c>
      <c r="AD525" s="161">
        <v>44</v>
      </c>
      <c r="AE525" s="161">
        <v>6</v>
      </c>
      <c r="AF525" s="161">
        <v>44</v>
      </c>
      <c r="AG525" s="161">
        <v>9</v>
      </c>
      <c r="AH525" s="145"/>
    </row>
    <row r="526" spans="28:34" x14ac:dyDescent="0.15">
      <c r="AB526">
        <v>6</v>
      </c>
      <c r="AC526" s="159">
        <v>24692</v>
      </c>
      <c r="AD526" s="161">
        <v>44</v>
      </c>
      <c r="AE526" s="161">
        <v>6</v>
      </c>
      <c r="AF526" s="161">
        <v>45</v>
      </c>
      <c r="AG526" s="161">
        <v>8</v>
      </c>
      <c r="AH526" s="145"/>
    </row>
    <row r="527" spans="28:34" x14ac:dyDescent="0.15">
      <c r="AC527" s="159">
        <v>24723</v>
      </c>
      <c r="AD527" s="161">
        <v>44</v>
      </c>
      <c r="AE527" s="161">
        <v>6</v>
      </c>
      <c r="AF527" s="161">
        <v>46</v>
      </c>
      <c r="AG527" s="161">
        <v>7</v>
      </c>
      <c r="AH527" s="145"/>
    </row>
    <row r="528" spans="28:34" x14ac:dyDescent="0.15">
      <c r="AC528" s="159">
        <v>24754</v>
      </c>
      <c r="AD528" s="161">
        <v>44</v>
      </c>
      <c r="AE528" s="161">
        <v>6</v>
      </c>
      <c r="AF528" s="161">
        <v>47</v>
      </c>
      <c r="AG528" s="161">
        <v>6</v>
      </c>
      <c r="AH528" s="145"/>
    </row>
    <row r="529" spans="29:34" x14ac:dyDescent="0.15">
      <c r="AC529" s="159">
        <v>24784</v>
      </c>
      <c r="AD529" s="161">
        <v>44</v>
      </c>
      <c r="AE529" s="161">
        <v>6</v>
      </c>
      <c r="AF529" s="161">
        <v>48</v>
      </c>
      <c r="AG529" s="161">
        <v>5</v>
      </c>
      <c r="AH529" s="145"/>
    </row>
    <row r="530" spans="29:34" x14ac:dyDescent="0.15">
      <c r="AC530" s="159">
        <v>24814</v>
      </c>
      <c r="AD530" s="161">
        <v>44</v>
      </c>
      <c r="AE530" s="161">
        <v>6</v>
      </c>
      <c r="AF530" s="161">
        <v>49</v>
      </c>
      <c r="AG530" s="161">
        <v>4</v>
      </c>
      <c r="AH530" s="145"/>
    </row>
    <row r="531" spans="29:34" x14ac:dyDescent="0.15">
      <c r="AC531" s="158">
        <v>24843</v>
      </c>
      <c r="AD531" s="161">
        <v>44</v>
      </c>
      <c r="AE531" s="161">
        <v>6</v>
      </c>
      <c r="AF531" s="161">
        <v>50</v>
      </c>
      <c r="AG531" s="161">
        <v>3</v>
      </c>
      <c r="AH531" s="145"/>
    </row>
    <row r="532" spans="29:34" x14ac:dyDescent="0.15">
      <c r="AC532" s="158">
        <v>24873</v>
      </c>
      <c r="AD532" s="161">
        <v>45</v>
      </c>
      <c r="AE532" s="161">
        <v>5</v>
      </c>
      <c r="AF532" s="161">
        <v>51</v>
      </c>
      <c r="AG532" s="161">
        <v>2</v>
      </c>
      <c r="AH532" s="145"/>
    </row>
    <row r="533" spans="29:34" x14ac:dyDescent="0.15">
      <c r="AC533" s="158">
        <v>24902</v>
      </c>
      <c r="AD533" s="161">
        <v>45</v>
      </c>
      <c r="AE533" s="161">
        <v>5</v>
      </c>
      <c r="AF533" s="161">
        <v>52</v>
      </c>
      <c r="AG533" s="161">
        <v>1</v>
      </c>
      <c r="AH533" s="145"/>
    </row>
    <row r="534" spans="29:34" x14ac:dyDescent="0.15">
      <c r="AC534" s="158">
        <v>24933</v>
      </c>
      <c r="AD534" s="161">
        <v>45</v>
      </c>
      <c r="AE534" s="161">
        <v>5</v>
      </c>
      <c r="AF534" s="161">
        <v>53</v>
      </c>
      <c r="AG534" s="161">
        <v>9</v>
      </c>
      <c r="AH534" s="145"/>
    </row>
    <row r="535" spans="29:34" x14ac:dyDescent="0.15">
      <c r="AC535" s="158">
        <v>24963</v>
      </c>
      <c r="AD535" s="161">
        <v>45</v>
      </c>
      <c r="AE535" s="161">
        <v>5</v>
      </c>
      <c r="AF535" s="161">
        <v>54</v>
      </c>
      <c r="AG535" s="161">
        <v>8</v>
      </c>
      <c r="AH535" s="145"/>
    </row>
    <row r="536" spans="29:34" x14ac:dyDescent="0.15">
      <c r="AC536" s="158">
        <v>24995</v>
      </c>
      <c r="AD536" s="161">
        <v>45</v>
      </c>
      <c r="AE536" s="161">
        <v>5</v>
      </c>
      <c r="AF536" s="161">
        <v>55</v>
      </c>
      <c r="AG536" s="161">
        <v>7</v>
      </c>
      <c r="AH536" s="145"/>
    </row>
    <row r="537" spans="29:34" x14ac:dyDescent="0.15">
      <c r="AC537" s="158">
        <v>25026</v>
      </c>
      <c r="AD537" s="161">
        <v>45</v>
      </c>
      <c r="AE537" s="161">
        <v>5</v>
      </c>
      <c r="AF537" s="161">
        <v>56</v>
      </c>
      <c r="AG537" s="161">
        <v>6</v>
      </c>
      <c r="AH537" s="145"/>
    </row>
    <row r="538" spans="29:34" x14ac:dyDescent="0.15">
      <c r="AC538" s="158">
        <v>25057</v>
      </c>
      <c r="AD538" s="161">
        <v>45</v>
      </c>
      <c r="AE538" s="161">
        <v>5</v>
      </c>
      <c r="AF538" s="161">
        <v>57</v>
      </c>
      <c r="AG538" s="161">
        <v>5</v>
      </c>
      <c r="AH538" s="145"/>
    </row>
    <row r="539" spans="29:34" x14ac:dyDescent="0.15">
      <c r="AC539" s="158">
        <v>25088</v>
      </c>
      <c r="AD539" s="161">
        <v>45</v>
      </c>
      <c r="AE539" s="161">
        <v>5</v>
      </c>
      <c r="AF539" s="161">
        <v>58</v>
      </c>
      <c r="AG539" s="161">
        <v>4</v>
      </c>
      <c r="AH539" s="145"/>
    </row>
    <row r="540" spans="29:34" x14ac:dyDescent="0.15">
      <c r="AC540" s="158">
        <v>25119</v>
      </c>
      <c r="AD540" s="161">
        <v>45</v>
      </c>
      <c r="AE540" s="161">
        <v>5</v>
      </c>
      <c r="AF540" s="161">
        <v>59</v>
      </c>
      <c r="AG540" s="161">
        <v>3</v>
      </c>
      <c r="AH540" s="145"/>
    </row>
    <row r="541" spans="29:34" x14ac:dyDescent="0.15">
      <c r="AC541" s="158">
        <v>25149</v>
      </c>
      <c r="AD541" s="161">
        <v>45</v>
      </c>
      <c r="AE541" s="161">
        <v>5</v>
      </c>
      <c r="AF541" s="161">
        <v>60</v>
      </c>
      <c r="AG541" s="161">
        <v>2</v>
      </c>
      <c r="AH541" s="145"/>
    </row>
    <row r="542" spans="29:34" x14ac:dyDescent="0.15">
      <c r="AC542" s="158">
        <v>25179</v>
      </c>
      <c r="AD542" s="161">
        <v>45</v>
      </c>
      <c r="AE542" s="161">
        <v>5</v>
      </c>
      <c r="AF542" s="161">
        <v>1</v>
      </c>
      <c r="AG542" s="161">
        <v>1</v>
      </c>
      <c r="AH542" s="145"/>
    </row>
    <row r="543" spans="29:34" x14ac:dyDescent="0.15">
      <c r="AC543" s="158">
        <v>25208</v>
      </c>
      <c r="AD543" s="161">
        <v>45</v>
      </c>
      <c r="AE543" s="161">
        <v>5</v>
      </c>
      <c r="AF543" s="161">
        <v>2</v>
      </c>
      <c r="AG543" s="161">
        <v>9</v>
      </c>
      <c r="AH543" s="145"/>
    </row>
    <row r="544" spans="29:34" x14ac:dyDescent="0.15">
      <c r="AC544" s="159">
        <v>25238</v>
      </c>
      <c r="AD544" s="161">
        <v>46</v>
      </c>
      <c r="AE544" s="161">
        <v>4</v>
      </c>
      <c r="AF544" s="161">
        <v>3</v>
      </c>
      <c r="AG544" s="161">
        <v>8</v>
      </c>
      <c r="AH544" s="145"/>
    </row>
    <row r="545" spans="28:34" x14ac:dyDescent="0.15">
      <c r="AC545" s="159">
        <v>25268</v>
      </c>
      <c r="AD545" s="161">
        <v>46</v>
      </c>
      <c r="AE545" s="161">
        <v>4</v>
      </c>
      <c r="AF545" s="161">
        <v>4</v>
      </c>
      <c r="AG545" s="161">
        <v>7</v>
      </c>
      <c r="AH545" s="145"/>
    </row>
    <row r="546" spans="28:34" x14ac:dyDescent="0.15">
      <c r="AC546" s="159">
        <v>25298</v>
      </c>
      <c r="AD546" s="161">
        <v>46</v>
      </c>
      <c r="AE546" s="161">
        <v>4</v>
      </c>
      <c r="AF546" s="161">
        <v>5</v>
      </c>
      <c r="AG546" s="161">
        <v>6</v>
      </c>
      <c r="AH546" s="145"/>
    </row>
    <row r="547" spans="28:34" x14ac:dyDescent="0.15">
      <c r="AC547" s="159">
        <v>25329</v>
      </c>
      <c r="AD547" s="161">
        <v>46</v>
      </c>
      <c r="AE547" s="161">
        <v>4</v>
      </c>
      <c r="AF547" s="161">
        <v>6</v>
      </c>
      <c r="AG547" s="161">
        <v>5</v>
      </c>
      <c r="AH547" s="145"/>
    </row>
    <row r="548" spans="28:34" x14ac:dyDescent="0.15">
      <c r="AC548" s="159">
        <v>25360</v>
      </c>
      <c r="AD548" s="161">
        <v>46</v>
      </c>
      <c r="AE548" s="161">
        <v>4</v>
      </c>
      <c r="AF548" s="161">
        <v>7</v>
      </c>
      <c r="AG548" s="161">
        <v>4</v>
      </c>
      <c r="AH548" s="145"/>
    </row>
    <row r="549" spans="28:34" x14ac:dyDescent="0.15">
      <c r="AC549" s="159">
        <v>25391</v>
      </c>
      <c r="AD549" s="161">
        <v>46</v>
      </c>
      <c r="AE549" s="161">
        <v>4</v>
      </c>
      <c r="AF549" s="161">
        <v>8</v>
      </c>
      <c r="AG549" s="161">
        <v>3</v>
      </c>
      <c r="AH549" s="145"/>
    </row>
    <row r="550" spans="28:34" x14ac:dyDescent="0.15">
      <c r="AC550" s="159">
        <v>25423</v>
      </c>
      <c r="AD550" s="161">
        <v>46</v>
      </c>
      <c r="AE550" s="161">
        <v>4</v>
      </c>
      <c r="AF550" s="161">
        <v>9</v>
      </c>
      <c r="AG550" s="161">
        <v>2</v>
      </c>
      <c r="AH550" s="145"/>
    </row>
    <row r="551" spans="28:34" x14ac:dyDescent="0.15">
      <c r="AC551" s="159">
        <v>25454</v>
      </c>
      <c r="AD551" s="161">
        <v>46</v>
      </c>
      <c r="AE551" s="161">
        <v>4</v>
      </c>
      <c r="AF551" s="161">
        <v>10</v>
      </c>
      <c r="AG551" s="161">
        <v>1</v>
      </c>
      <c r="AH551" s="145"/>
    </row>
    <row r="552" spans="28:34" x14ac:dyDescent="0.15">
      <c r="AC552" s="159">
        <v>25484</v>
      </c>
      <c r="AD552" s="161">
        <v>46</v>
      </c>
      <c r="AE552" s="161">
        <v>4</v>
      </c>
      <c r="AF552" s="161">
        <v>11</v>
      </c>
      <c r="AG552" s="161">
        <v>9</v>
      </c>
      <c r="AH552" s="145"/>
    </row>
    <row r="553" spans="28:34" x14ac:dyDescent="0.15">
      <c r="AC553" s="159">
        <v>25514</v>
      </c>
      <c r="AD553" s="161">
        <v>46</v>
      </c>
      <c r="AE553" s="161">
        <v>4</v>
      </c>
      <c r="AF553" s="161">
        <v>12</v>
      </c>
      <c r="AG553" s="161">
        <v>8</v>
      </c>
      <c r="AH553" s="145"/>
    </row>
    <row r="554" spans="28:34" x14ac:dyDescent="0.15">
      <c r="AC554" s="159">
        <v>25544</v>
      </c>
      <c r="AD554" s="161">
        <v>46</v>
      </c>
      <c r="AE554" s="161">
        <v>4</v>
      </c>
      <c r="AF554" s="161">
        <v>13</v>
      </c>
      <c r="AG554" s="161">
        <v>7</v>
      </c>
      <c r="AH554" s="145"/>
    </row>
    <row r="555" spans="28:34" x14ac:dyDescent="0.15">
      <c r="AC555" s="159">
        <v>25574</v>
      </c>
      <c r="AD555" s="161">
        <v>46</v>
      </c>
      <c r="AE555" s="161">
        <v>4</v>
      </c>
      <c r="AF555" s="161">
        <v>14</v>
      </c>
      <c r="AG555" s="161">
        <v>6</v>
      </c>
      <c r="AH555" s="145"/>
    </row>
    <row r="556" spans="28:34" x14ac:dyDescent="0.15">
      <c r="AB556">
        <v>6</v>
      </c>
      <c r="AC556" s="159">
        <v>25603</v>
      </c>
      <c r="AD556" s="161">
        <v>47</v>
      </c>
      <c r="AE556" s="161">
        <v>3</v>
      </c>
      <c r="AF556" s="161">
        <v>15</v>
      </c>
      <c r="AG556" s="161">
        <v>5</v>
      </c>
      <c r="AH556" s="145"/>
    </row>
    <row r="557" spans="28:34" x14ac:dyDescent="0.15">
      <c r="AB557">
        <v>7</v>
      </c>
      <c r="AC557" s="159">
        <v>25633</v>
      </c>
      <c r="AD557" s="161">
        <v>47</v>
      </c>
      <c r="AE557" s="161">
        <v>3</v>
      </c>
      <c r="AF557" s="161">
        <v>16</v>
      </c>
      <c r="AG557" s="161">
        <v>4</v>
      </c>
      <c r="AH557" s="145"/>
    </row>
    <row r="558" spans="28:34" x14ac:dyDescent="0.15">
      <c r="AC558" s="159">
        <v>25663</v>
      </c>
      <c r="AD558" s="161">
        <v>47</v>
      </c>
      <c r="AE558" s="161">
        <v>3</v>
      </c>
      <c r="AF558" s="161">
        <v>17</v>
      </c>
      <c r="AG558" s="161">
        <v>3</v>
      </c>
      <c r="AH558" s="145"/>
    </row>
    <row r="559" spans="28:34" x14ac:dyDescent="0.15">
      <c r="AC559" s="159">
        <v>25694</v>
      </c>
      <c r="AD559" s="161">
        <v>47</v>
      </c>
      <c r="AE559" s="161">
        <v>3</v>
      </c>
      <c r="AF559" s="161">
        <v>18</v>
      </c>
      <c r="AG559" s="161">
        <v>2</v>
      </c>
      <c r="AH559" s="145"/>
    </row>
    <row r="560" spans="28:34" x14ac:dyDescent="0.15">
      <c r="AC560" s="159">
        <v>25725</v>
      </c>
      <c r="AD560" s="161">
        <v>47</v>
      </c>
      <c r="AE560" s="161">
        <v>3</v>
      </c>
      <c r="AF560" s="161">
        <v>19</v>
      </c>
      <c r="AG560" s="161">
        <v>1</v>
      </c>
      <c r="AH560" s="145"/>
    </row>
    <row r="561" spans="29:34" x14ac:dyDescent="0.15">
      <c r="AC561" s="159">
        <v>25756</v>
      </c>
      <c r="AD561" s="161">
        <v>47</v>
      </c>
      <c r="AE561" s="161">
        <v>3</v>
      </c>
      <c r="AF561" s="161">
        <v>20</v>
      </c>
      <c r="AG561" s="161">
        <v>9</v>
      </c>
      <c r="AH561" s="145"/>
    </row>
    <row r="562" spans="29:34" x14ac:dyDescent="0.15">
      <c r="AC562" s="159">
        <v>25788</v>
      </c>
      <c r="AD562" s="161">
        <v>47</v>
      </c>
      <c r="AE562" s="161">
        <v>3</v>
      </c>
      <c r="AF562" s="161">
        <v>21</v>
      </c>
      <c r="AG562" s="161">
        <v>8</v>
      </c>
      <c r="AH562" s="145"/>
    </row>
    <row r="563" spans="29:34" x14ac:dyDescent="0.15">
      <c r="AC563" s="159">
        <v>25819</v>
      </c>
      <c r="AD563" s="161">
        <v>47</v>
      </c>
      <c r="AE563" s="161">
        <v>3</v>
      </c>
      <c r="AF563" s="161">
        <v>22</v>
      </c>
      <c r="AG563" s="161">
        <v>7</v>
      </c>
      <c r="AH563" s="145"/>
    </row>
    <row r="564" spans="29:34" x14ac:dyDescent="0.15">
      <c r="AC564" s="159">
        <v>25850</v>
      </c>
      <c r="AD564" s="161">
        <v>47</v>
      </c>
      <c r="AE564" s="161">
        <v>3</v>
      </c>
      <c r="AF564" s="161">
        <v>23</v>
      </c>
      <c r="AG564" s="161">
        <v>6</v>
      </c>
      <c r="AH564" s="145"/>
    </row>
    <row r="565" spans="29:34" x14ac:dyDescent="0.15">
      <c r="AC565" s="159">
        <v>25880</v>
      </c>
      <c r="AD565" s="161">
        <v>47</v>
      </c>
      <c r="AE565" s="161">
        <v>3</v>
      </c>
      <c r="AF565" s="161">
        <v>24</v>
      </c>
      <c r="AG565" s="161">
        <v>5</v>
      </c>
      <c r="AH565" s="145"/>
    </row>
    <row r="566" spans="29:34" x14ac:dyDescent="0.15">
      <c r="AC566" s="159">
        <v>25909</v>
      </c>
      <c r="AD566" s="161">
        <v>47</v>
      </c>
      <c r="AE566" s="161">
        <v>3</v>
      </c>
      <c r="AF566" s="161">
        <v>25</v>
      </c>
      <c r="AG566" s="161">
        <v>4</v>
      </c>
      <c r="AH566" s="145"/>
    </row>
    <row r="567" spans="29:34" x14ac:dyDescent="0.15">
      <c r="AC567" s="159">
        <v>25939</v>
      </c>
      <c r="AD567" s="161">
        <v>47</v>
      </c>
      <c r="AE567" s="161">
        <v>3</v>
      </c>
      <c r="AF567" s="161">
        <v>26</v>
      </c>
      <c r="AG567" s="161">
        <v>3</v>
      </c>
      <c r="AH567" s="145"/>
    </row>
    <row r="568" spans="29:34" x14ac:dyDescent="0.15">
      <c r="AC568" s="159">
        <v>25968</v>
      </c>
      <c r="AD568" s="161">
        <v>48</v>
      </c>
      <c r="AE568" s="161">
        <v>2</v>
      </c>
      <c r="AF568" s="161">
        <v>27</v>
      </c>
      <c r="AG568" s="161">
        <v>2</v>
      </c>
      <c r="AH568" s="145"/>
    </row>
    <row r="569" spans="29:34" x14ac:dyDescent="0.15">
      <c r="AC569" s="159">
        <v>25998</v>
      </c>
      <c r="AD569" s="161">
        <v>48</v>
      </c>
      <c r="AE569" s="161">
        <v>2</v>
      </c>
      <c r="AF569" s="161">
        <v>28</v>
      </c>
      <c r="AG569" s="161">
        <v>1</v>
      </c>
      <c r="AH569" s="145"/>
    </row>
    <row r="570" spans="29:34" x14ac:dyDescent="0.15">
      <c r="AC570" s="159">
        <v>26028</v>
      </c>
      <c r="AD570" s="161">
        <v>48</v>
      </c>
      <c r="AE570" s="161">
        <v>2</v>
      </c>
      <c r="AF570" s="161">
        <v>29</v>
      </c>
      <c r="AG570" s="161">
        <v>9</v>
      </c>
      <c r="AH570" s="145"/>
    </row>
    <row r="571" spans="29:34" x14ac:dyDescent="0.15">
      <c r="AC571" s="159">
        <v>26059</v>
      </c>
      <c r="AD571" s="161">
        <v>48</v>
      </c>
      <c r="AE571" s="161">
        <v>2</v>
      </c>
      <c r="AF571" s="161">
        <v>30</v>
      </c>
      <c r="AG571" s="161">
        <v>8</v>
      </c>
      <c r="AH571" s="145"/>
    </row>
    <row r="572" spans="29:34" x14ac:dyDescent="0.15">
      <c r="AC572" s="159">
        <v>26090</v>
      </c>
      <c r="AD572" s="161">
        <v>48</v>
      </c>
      <c r="AE572" s="161">
        <v>2</v>
      </c>
      <c r="AF572" s="161">
        <v>31</v>
      </c>
      <c r="AG572" s="161">
        <v>7</v>
      </c>
      <c r="AH572" s="145"/>
    </row>
    <row r="573" spans="29:34" x14ac:dyDescent="0.15">
      <c r="AC573" s="159">
        <v>26122</v>
      </c>
      <c r="AD573" s="161">
        <v>48</v>
      </c>
      <c r="AE573" s="161">
        <v>2</v>
      </c>
      <c r="AF573" s="161">
        <v>32</v>
      </c>
      <c r="AG573" s="161">
        <v>6</v>
      </c>
      <c r="AH573" s="145"/>
    </row>
    <row r="574" spans="29:34" x14ac:dyDescent="0.15">
      <c r="AC574" s="159">
        <v>26153</v>
      </c>
      <c r="AD574" s="161">
        <v>48</v>
      </c>
      <c r="AE574" s="161">
        <v>2</v>
      </c>
      <c r="AF574" s="161">
        <v>33</v>
      </c>
      <c r="AG574" s="161">
        <v>5</v>
      </c>
      <c r="AH574" s="145"/>
    </row>
    <row r="575" spans="29:34" x14ac:dyDescent="0.15">
      <c r="AC575" s="159">
        <v>26184</v>
      </c>
      <c r="AD575" s="161">
        <v>48</v>
      </c>
      <c r="AE575" s="161">
        <v>2</v>
      </c>
      <c r="AF575" s="161">
        <v>34</v>
      </c>
      <c r="AG575" s="161">
        <v>4</v>
      </c>
      <c r="AH575" s="145"/>
    </row>
    <row r="576" spans="29:34" x14ac:dyDescent="0.15">
      <c r="AC576" s="159">
        <v>26215</v>
      </c>
      <c r="AD576" s="161">
        <v>48</v>
      </c>
      <c r="AE576" s="161">
        <v>2</v>
      </c>
      <c r="AF576" s="161">
        <v>35</v>
      </c>
      <c r="AG576" s="161">
        <v>3</v>
      </c>
      <c r="AH576" s="145"/>
    </row>
    <row r="577" spans="28:34" x14ac:dyDescent="0.15">
      <c r="AC577" s="159">
        <v>26245</v>
      </c>
      <c r="AD577" s="161">
        <v>48</v>
      </c>
      <c r="AE577" s="161">
        <v>2</v>
      </c>
      <c r="AF577" s="161">
        <v>36</v>
      </c>
      <c r="AG577" s="161">
        <v>2</v>
      </c>
      <c r="AH577" s="145"/>
    </row>
    <row r="578" spans="28:34" x14ac:dyDescent="0.15">
      <c r="AC578" s="159">
        <v>26275</v>
      </c>
      <c r="AD578" s="161">
        <v>48</v>
      </c>
      <c r="AE578" s="161">
        <v>2</v>
      </c>
      <c r="AF578" s="161">
        <v>37</v>
      </c>
      <c r="AG578" s="161">
        <v>1</v>
      </c>
      <c r="AH578" s="145"/>
    </row>
    <row r="579" spans="28:34" x14ac:dyDescent="0.15">
      <c r="AC579" s="159">
        <v>26304</v>
      </c>
      <c r="AD579" s="161">
        <v>48</v>
      </c>
      <c r="AE579" s="161">
        <v>2</v>
      </c>
      <c r="AF579" s="161">
        <v>38</v>
      </c>
      <c r="AG579" s="161">
        <v>9</v>
      </c>
      <c r="AH579" s="145"/>
    </row>
    <row r="580" spans="28:34" x14ac:dyDescent="0.15">
      <c r="AC580" s="159">
        <v>26334</v>
      </c>
      <c r="AD580" s="161">
        <v>49</v>
      </c>
      <c r="AE580" s="161">
        <v>1</v>
      </c>
      <c r="AF580" s="161">
        <v>39</v>
      </c>
      <c r="AG580" s="161">
        <v>8</v>
      </c>
      <c r="AH580" s="145"/>
    </row>
    <row r="581" spans="28:34" x14ac:dyDescent="0.15">
      <c r="AC581" s="159">
        <v>26363</v>
      </c>
      <c r="AD581" s="161">
        <v>49</v>
      </c>
      <c r="AE581" s="161">
        <v>1</v>
      </c>
      <c r="AF581" s="161">
        <v>40</v>
      </c>
      <c r="AG581" s="161">
        <v>7</v>
      </c>
      <c r="AH581" s="145"/>
    </row>
    <row r="582" spans="28:34" x14ac:dyDescent="0.15">
      <c r="AC582" s="159">
        <v>26394</v>
      </c>
      <c r="AD582" s="161">
        <v>49</v>
      </c>
      <c r="AE582" s="161">
        <v>1</v>
      </c>
      <c r="AF582" s="161">
        <v>41</v>
      </c>
      <c r="AG582" s="161">
        <v>6</v>
      </c>
      <c r="AH582" s="145"/>
    </row>
    <row r="583" spans="28:34" x14ac:dyDescent="0.15">
      <c r="AC583" s="159">
        <v>26424</v>
      </c>
      <c r="AD583" s="161">
        <v>49</v>
      </c>
      <c r="AE583" s="161">
        <v>1</v>
      </c>
      <c r="AF583" s="161">
        <v>42</v>
      </c>
      <c r="AG583" s="161">
        <v>5</v>
      </c>
      <c r="AH583" s="145"/>
    </row>
    <row r="584" spans="28:34" x14ac:dyDescent="0.15">
      <c r="AC584" s="159">
        <v>26455</v>
      </c>
      <c r="AD584" s="161">
        <v>49</v>
      </c>
      <c r="AE584" s="161">
        <v>1</v>
      </c>
      <c r="AF584" s="161">
        <v>43</v>
      </c>
      <c r="AG584" s="161">
        <v>4</v>
      </c>
      <c r="AH584" s="145"/>
    </row>
    <row r="585" spans="28:34" x14ac:dyDescent="0.15">
      <c r="AC585" s="159">
        <v>26487</v>
      </c>
      <c r="AD585" s="161">
        <v>49</v>
      </c>
      <c r="AE585" s="161">
        <v>1</v>
      </c>
      <c r="AF585" s="161">
        <v>44</v>
      </c>
      <c r="AG585" s="161">
        <v>3</v>
      </c>
      <c r="AH585" s="145"/>
    </row>
    <row r="586" spans="28:34" x14ac:dyDescent="0.15">
      <c r="AC586" s="159">
        <v>26518</v>
      </c>
      <c r="AD586" s="161">
        <v>49</v>
      </c>
      <c r="AE586" s="161">
        <v>1</v>
      </c>
      <c r="AF586" s="161">
        <v>45</v>
      </c>
      <c r="AG586" s="161">
        <v>2</v>
      </c>
      <c r="AH586" s="145"/>
    </row>
    <row r="587" spans="28:34" x14ac:dyDescent="0.15">
      <c r="AC587" s="159">
        <v>26549</v>
      </c>
      <c r="AD587" s="161">
        <v>49</v>
      </c>
      <c r="AE587" s="161">
        <v>1</v>
      </c>
      <c r="AF587" s="161">
        <v>46</v>
      </c>
      <c r="AG587" s="161">
        <v>1</v>
      </c>
      <c r="AH587" s="145"/>
    </row>
    <row r="588" spans="28:34" x14ac:dyDescent="0.15">
      <c r="AB588">
        <v>7</v>
      </c>
      <c r="AC588" s="159">
        <v>26580</v>
      </c>
      <c r="AD588" s="161">
        <v>49</v>
      </c>
      <c r="AE588" s="161">
        <v>1</v>
      </c>
      <c r="AF588" s="161">
        <v>47</v>
      </c>
      <c r="AG588" s="161">
        <v>9</v>
      </c>
      <c r="AH588" s="145"/>
    </row>
    <row r="589" spans="28:34" x14ac:dyDescent="0.15">
      <c r="AB589">
        <v>8</v>
      </c>
      <c r="AC589" s="159">
        <v>26610</v>
      </c>
      <c r="AD589" s="161">
        <v>49</v>
      </c>
      <c r="AE589" s="161">
        <v>1</v>
      </c>
      <c r="AF589" s="161">
        <v>48</v>
      </c>
      <c r="AG589" s="161">
        <v>8</v>
      </c>
      <c r="AH589" s="145"/>
    </row>
    <row r="590" spans="28:34" x14ac:dyDescent="0.15">
      <c r="AC590" s="159">
        <v>26640</v>
      </c>
      <c r="AD590" s="161">
        <v>49</v>
      </c>
      <c r="AE590" s="161">
        <v>1</v>
      </c>
      <c r="AF590" s="161">
        <v>49</v>
      </c>
      <c r="AG590" s="161">
        <v>7</v>
      </c>
      <c r="AH590" s="145"/>
    </row>
    <row r="591" spans="28:34" x14ac:dyDescent="0.15">
      <c r="AC591" s="159">
        <v>26669</v>
      </c>
      <c r="AD591" s="161">
        <v>49</v>
      </c>
      <c r="AE591" s="161">
        <v>1</v>
      </c>
      <c r="AF591" s="161">
        <v>50</v>
      </c>
      <c r="AG591" s="161">
        <v>6</v>
      </c>
      <c r="AH591" s="145"/>
    </row>
    <row r="592" spans="28:34" x14ac:dyDescent="0.15">
      <c r="AC592" s="159">
        <v>26699</v>
      </c>
      <c r="AD592" s="161">
        <v>50</v>
      </c>
      <c r="AE592" s="161">
        <v>9</v>
      </c>
      <c r="AF592" s="161">
        <v>51</v>
      </c>
      <c r="AG592" s="161">
        <v>5</v>
      </c>
      <c r="AH592" s="145"/>
    </row>
    <row r="593" spans="29:34" x14ac:dyDescent="0.15">
      <c r="AC593" s="159">
        <v>26729</v>
      </c>
      <c r="AD593" s="161">
        <v>50</v>
      </c>
      <c r="AE593" s="161">
        <v>9</v>
      </c>
      <c r="AF593" s="161">
        <v>52</v>
      </c>
      <c r="AG593" s="161">
        <v>4</v>
      </c>
      <c r="AH593" s="145"/>
    </row>
    <row r="594" spans="29:34" x14ac:dyDescent="0.15">
      <c r="AC594" s="159">
        <v>26759</v>
      </c>
      <c r="AD594" s="161">
        <v>50</v>
      </c>
      <c r="AE594" s="161">
        <v>9</v>
      </c>
      <c r="AF594" s="161">
        <v>53</v>
      </c>
      <c r="AG594" s="161">
        <v>3</v>
      </c>
      <c r="AH594" s="145"/>
    </row>
    <row r="595" spans="29:34" x14ac:dyDescent="0.15">
      <c r="AC595" s="159">
        <v>26790</v>
      </c>
      <c r="AD595" s="161">
        <v>50</v>
      </c>
      <c r="AE595" s="161">
        <v>9</v>
      </c>
      <c r="AF595" s="161">
        <v>54</v>
      </c>
      <c r="AG595" s="161">
        <v>2</v>
      </c>
      <c r="AH595" s="145"/>
    </row>
    <row r="596" spans="29:34" x14ac:dyDescent="0.15">
      <c r="AC596" s="159">
        <v>26821</v>
      </c>
      <c r="AD596" s="161">
        <v>50</v>
      </c>
      <c r="AE596" s="161">
        <v>9</v>
      </c>
      <c r="AF596" s="161">
        <v>55</v>
      </c>
      <c r="AG596" s="161">
        <v>1</v>
      </c>
      <c r="AH596" s="145"/>
    </row>
    <row r="597" spans="29:34" x14ac:dyDescent="0.15">
      <c r="AC597" s="159">
        <v>26852</v>
      </c>
      <c r="AD597" s="161">
        <v>50</v>
      </c>
      <c r="AE597" s="161">
        <v>9</v>
      </c>
      <c r="AF597" s="161">
        <v>56</v>
      </c>
      <c r="AG597" s="161">
        <v>9</v>
      </c>
      <c r="AH597" s="145"/>
    </row>
    <row r="598" spans="29:34" x14ac:dyDescent="0.15">
      <c r="AC598" s="159">
        <v>26884</v>
      </c>
      <c r="AD598" s="161">
        <v>50</v>
      </c>
      <c r="AE598" s="161">
        <v>9</v>
      </c>
      <c r="AF598" s="161">
        <v>57</v>
      </c>
      <c r="AG598" s="161">
        <v>8</v>
      </c>
      <c r="AH598" s="145"/>
    </row>
    <row r="599" spans="29:34" x14ac:dyDescent="0.15">
      <c r="AC599" s="159">
        <v>26915</v>
      </c>
      <c r="AD599" s="161">
        <v>50</v>
      </c>
      <c r="AE599" s="161">
        <v>9</v>
      </c>
      <c r="AF599" s="161">
        <v>58</v>
      </c>
      <c r="AG599" s="161">
        <v>7</v>
      </c>
      <c r="AH599" s="145"/>
    </row>
    <row r="600" spans="29:34" x14ac:dyDescent="0.15">
      <c r="AC600" s="159">
        <v>26945</v>
      </c>
      <c r="AD600" s="161">
        <v>50</v>
      </c>
      <c r="AE600" s="161">
        <v>9</v>
      </c>
      <c r="AF600" s="161">
        <v>59</v>
      </c>
      <c r="AG600" s="161">
        <v>6</v>
      </c>
      <c r="AH600" s="145"/>
    </row>
    <row r="601" spans="29:34" x14ac:dyDescent="0.15">
      <c r="AC601" s="159">
        <v>26975</v>
      </c>
      <c r="AD601" s="161">
        <v>50</v>
      </c>
      <c r="AE601" s="161">
        <v>9</v>
      </c>
      <c r="AF601" s="161">
        <v>60</v>
      </c>
      <c r="AG601" s="161">
        <v>5</v>
      </c>
      <c r="AH601" s="145"/>
    </row>
    <row r="602" spans="29:34" x14ac:dyDescent="0.15">
      <c r="AC602" s="159">
        <v>27005</v>
      </c>
      <c r="AD602" s="161">
        <v>50</v>
      </c>
      <c r="AE602" s="161">
        <v>9</v>
      </c>
      <c r="AF602" s="161">
        <v>1</v>
      </c>
      <c r="AG602" s="161">
        <v>4</v>
      </c>
      <c r="AH602" s="145"/>
    </row>
    <row r="603" spans="29:34" x14ac:dyDescent="0.15">
      <c r="AC603" s="159">
        <v>27035</v>
      </c>
      <c r="AD603" s="161">
        <v>50</v>
      </c>
      <c r="AE603" s="161">
        <v>9</v>
      </c>
      <c r="AF603" s="161">
        <v>2</v>
      </c>
      <c r="AG603" s="161">
        <v>3</v>
      </c>
      <c r="AH603" s="145"/>
    </row>
    <row r="604" spans="29:34" x14ac:dyDescent="0.15">
      <c r="AC604" s="159">
        <v>27064</v>
      </c>
      <c r="AD604" s="161">
        <v>51</v>
      </c>
      <c r="AE604" s="161">
        <v>8</v>
      </c>
      <c r="AF604" s="161">
        <v>3</v>
      </c>
      <c r="AG604" s="161">
        <v>2</v>
      </c>
      <c r="AH604" s="145"/>
    </row>
    <row r="605" spans="29:34" x14ac:dyDescent="0.15">
      <c r="AC605" s="159">
        <v>27094</v>
      </c>
      <c r="AD605" s="161">
        <v>51</v>
      </c>
      <c r="AE605" s="161">
        <v>8</v>
      </c>
      <c r="AF605" s="161">
        <v>4</v>
      </c>
      <c r="AG605" s="161">
        <v>1</v>
      </c>
      <c r="AH605" s="145"/>
    </row>
    <row r="606" spans="29:34" x14ac:dyDescent="0.15">
      <c r="AC606" s="159">
        <v>27124</v>
      </c>
      <c r="AD606" s="161">
        <v>51</v>
      </c>
      <c r="AE606" s="161">
        <v>8</v>
      </c>
      <c r="AF606" s="161">
        <v>5</v>
      </c>
      <c r="AG606" s="161">
        <v>9</v>
      </c>
      <c r="AH606" s="145"/>
    </row>
    <row r="607" spans="29:34" x14ac:dyDescent="0.15">
      <c r="AC607" s="159">
        <v>27155</v>
      </c>
      <c r="AD607" s="161">
        <v>51</v>
      </c>
      <c r="AE607" s="161">
        <v>8</v>
      </c>
      <c r="AF607" s="161">
        <v>6</v>
      </c>
      <c r="AG607" s="161">
        <v>8</v>
      </c>
      <c r="AH607" s="145"/>
    </row>
    <row r="608" spans="29:34" x14ac:dyDescent="0.15">
      <c r="AC608" s="159">
        <v>27186</v>
      </c>
      <c r="AD608" s="161">
        <v>51</v>
      </c>
      <c r="AE608" s="161">
        <v>8</v>
      </c>
      <c r="AF608" s="161">
        <v>7</v>
      </c>
      <c r="AG608" s="161">
        <v>7</v>
      </c>
      <c r="AH608" s="145"/>
    </row>
    <row r="609" spans="28:34" x14ac:dyDescent="0.15">
      <c r="AC609" s="159">
        <v>27217</v>
      </c>
      <c r="AD609" s="161">
        <v>51</v>
      </c>
      <c r="AE609" s="161">
        <v>8</v>
      </c>
      <c r="AF609" s="161">
        <v>8</v>
      </c>
      <c r="AG609" s="161">
        <v>6</v>
      </c>
      <c r="AH609" s="145"/>
    </row>
    <row r="610" spans="28:34" x14ac:dyDescent="0.15">
      <c r="AC610" s="159">
        <v>27249</v>
      </c>
      <c r="AD610" s="161">
        <v>51</v>
      </c>
      <c r="AE610" s="161">
        <v>8</v>
      </c>
      <c r="AF610" s="161">
        <v>9</v>
      </c>
      <c r="AG610" s="161">
        <v>5</v>
      </c>
      <c r="AH610" s="145"/>
    </row>
    <row r="611" spans="28:34" x14ac:dyDescent="0.15">
      <c r="AC611" s="159">
        <v>27280</v>
      </c>
      <c r="AD611" s="161">
        <v>51</v>
      </c>
      <c r="AE611" s="161">
        <v>8</v>
      </c>
      <c r="AF611" s="161">
        <v>10</v>
      </c>
      <c r="AG611" s="161">
        <v>4</v>
      </c>
      <c r="AH611" s="145"/>
    </row>
    <row r="612" spans="28:34" x14ac:dyDescent="0.15">
      <c r="AC612" s="159">
        <v>27311</v>
      </c>
      <c r="AD612" s="161">
        <v>51</v>
      </c>
      <c r="AE612" s="161">
        <v>8</v>
      </c>
      <c r="AF612" s="161">
        <v>11</v>
      </c>
      <c r="AG612" s="161">
        <v>3</v>
      </c>
      <c r="AH612" s="145"/>
    </row>
    <row r="613" spans="28:34" x14ac:dyDescent="0.15">
      <c r="AC613" s="159">
        <v>27341</v>
      </c>
      <c r="AD613" s="161">
        <v>51</v>
      </c>
      <c r="AE613" s="161">
        <v>8</v>
      </c>
      <c r="AF613" s="161">
        <v>12</v>
      </c>
      <c r="AG613" s="161">
        <v>2</v>
      </c>
      <c r="AH613" s="145"/>
    </row>
    <row r="614" spans="28:34" x14ac:dyDescent="0.15">
      <c r="AC614" s="159">
        <v>27370</v>
      </c>
      <c r="AD614" s="161">
        <v>51</v>
      </c>
      <c r="AE614" s="161">
        <v>8</v>
      </c>
      <c r="AF614" s="161">
        <v>13</v>
      </c>
      <c r="AG614" s="161">
        <v>1</v>
      </c>
      <c r="AH614" s="145"/>
    </row>
    <row r="615" spans="28:34" x14ac:dyDescent="0.15">
      <c r="AC615" s="159">
        <v>27400</v>
      </c>
      <c r="AD615" s="161">
        <v>51</v>
      </c>
      <c r="AE615" s="161">
        <v>8</v>
      </c>
      <c r="AF615" s="161">
        <v>14</v>
      </c>
      <c r="AG615" s="161">
        <v>9</v>
      </c>
      <c r="AH615" s="145"/>
    </row>
    <row r="616" spans="28:34" x14ac:dyDescent="0.15">
      <c r="AC616" s="159">
        <v>27429</v>
      </c>
      <c r="AD616" s="161">
        <v>52</v>
      </c>
      <c r="AE616" s="161">
        <v>7</v>
      </c>
      <c r="AF616" s="161">
        <v>15</v>
      </c>
      <c r="AG616" s="161">
        <v>8</v>
      </c>
      <c r="AH616" s="145"/>
    </row>
    <row r="617" spans="28:34" x14ac:dyDescent="0.15">
      <c r="AC617" s="159">
        <v>27459</v>
      </c>
      <c r="AD617" s="161">
        <v>52</v>
      </c>
      <c r="AE617" s="161">
        <v>7</v>
      </c>
      <c r="AF617" s="161">
        <v>16</v>
      </c>
      <c r="AG617" s="161">
        <v>7</v>
      </c>
      <c r="AH617" s="145"/>
    </row>
    <row r="618" spans="28:34" x14ac:dyDescent="0.15">
      <c r="AC618" s="159">
        <v>27489</v>
      </c>
      <c r="AD618" s="161">
        <v>52</v>
      </c>
      <c r="AE618" s="161">
        <v>7</v>
      </c>
      <c r="AF618" s="161">
        <v>17</v>
      </c>
      <c r="AG618" s="161">
        <v>6</v>
      </c>
      <c r="AH618" s="145"/>
    </row>
    <row r="619" spans="28:34" x14ac:dyDescent="0.15">
      <c r="AB619">
        <v>8</v>
      </c>
      <c r="AC619" s="159">
        <v>27520</v>
      </c>
      <c r="AD619" s="161">
        <v>52</v>
      </c>
      <c r="AE619" s="161">
        <v>7</v>
      </c>
      <c r="AF619" s="161">
        <v>18</v>
      </c>
      <c r="AG619" s="161">
        <v>5</v>
      </c>
      <c r="AH619" s="145"/>
    </row>
    <row r="620" spans="28:34" x14ac:dyDescent="0.15">
      <c r="AB620">
        <v>9</v>
      </c>
      <c r="AC620" s="159">
        <v>27551</v>
      </c>
      <c r="AD620" s="161">
        <v>52</v>
      </c>
      <c r="AE620" s="161">
        <v>7</v>
      </c>
      <c r="AF620" s="161">
        <v>19</v>
      </c>
      <c r="AG620" s="161">
        <v>4</v>
      </c>
      <c r="AH620" s="145"/>
    </row>
    <row r="621" spans="28:34" x14ac:dyDescent="0.15">
      <c r="AC621" s="159">
        <v>27583</v>
      </c>
      <c r="AD621" s="161">
        <v>52</v>
      </c>
      <c r="AE621" s="161">
        <v>7</v>
      </c>
      <c r="AF621" s="161">
        <v>20</v>
      </c>
      <c r="AG621" s="161">
        <v>3</v>
      </c>
      <c r="AH621" s="145"/>
    </row>
    <row r="622" spans="28:34" x14ac:dyDescent="0.15">
      <c r="AC622" s="159">
        <v>27614</v>
      </c>
      <c r="AD622" s="161">
        <v>52</v>
      </c>
      <c r="AE622" s="161">
        <v>7</v>
      </c>
      <c r="AF622" s="161">
        <v>21</v>
      </c>
      <c r="AG622" s="161">
        <v>2</v>
      </c>
      <c r="AH622" s="145"/>
    </row>
    <row r="623" spans="28:34" x14ac:dyDescent="0.15">
      <c r="AC623" s="159">
        <v>27645</v>
      </c>
      <c r="AD623" s="161">
        <v>52</v>
      </c>
      <c r="AE623" s="161">
        <v>7</v>
      </c>
      <c r="AF623" s="161">
        <v>22</v>
      </c>
      <c r="AG623" s="161">
        <v>1</v>
      </c>
      <c r="AH623" s="145"/>
    </row>
    <row r="624" spans="28:34" x14ac:dyDescent="0.15">
      <c r="AC624" s="159">
        <v>27676</v>
      </c>
      <c r="AD624" s="161">
        <v>52</v>
      </c>
      <c r="AE624" s="161">
        <v>7</v>
      </c>
      <c r="AF624" s="161">
        <v>23</v>
      </c>
      <c r="AG624" s="161">
        <v>9</v>
      </c>
      <c r="AH624" s="145"/>
    </row>
    <row r="625" spans="29:34" x14ac:dyDescent="0.15">
      <c r="AC625" s="159">
        <v>27706</v>
      </c>
      <c r="AD625" s="161">
        <v>52</v>
      </c>
      <c r="AE625" s="161">
        <v>7</v>
      </c>
      <c r="AF625" s="161">
        <v>24</v>
      </c>
      <c r="AG625" s="161">
        <v>8</v>
      </c>
      <c r="AH625" s="145"/>
    </row>
    <row r="626" spans="29:34" x14ac:dyDescent="0.15">
      <c r="AC626" s="159">
        <v>27736</v>
      </c>
      <c r="AD626" s="161">
        <v>52</v>
      </c>
      <c r="AE626" s="161">
        <v>7</v>
      </c>
      <c r="AF626" s="161">
        <v>25</v>
      </c>
      <c r="AG626" s="161">
        <v>7</v>
      </c>
      <c r="AH626" s="145"/>
    </row>
    <row r="627" spans="29:34" x14ac:dyDescent="0.15">
      <c r="AC627" s="159">
        <v>27765</v>
      </c>
      <c r="AD627" s="161">
        <v>52</v>
      </c>
      <c r="AE627" s="161">
        <v>7</v>
      </c>
      <c r="AF627" s="161">
        <v>26</v>
      </c>
      <c r="AG627" s="161">
        <v>6</v>
      </c>
      <c r="AH627" s="145"/>
    </row>
    <row r="628" spans="29:34" x14ac:dyDescent="0.15">
      <c r="AC628" s="159">
        <v>27795</v>
      </c>
      <c r="AD628" s="161">
        <v>53</v>
      </c>
      <c r="AE628" s="161">
        <v>6</v>
      </c>
      <c r="AF628" s="161">
        <v>27</v>
      </c>
      <c r="AG628" s="161">
        <v>5</v>
      </c>
      <c r="AH628" s="145"/>
    </row>
    <row r="629" spans="29:34" x14ac:dyDescent="0.15">
      <c r="AC629" s="159">
        <v>27824</v>
      </c>
      <c r="AD629" s="161">
        <v>53</v>
      </c>
      <c r="AE629" s="161">
        <v>6</v>
      </c>
      <c r="AF629" s="161">
        <v>28</v>
      </c>
      <c r="AG629" s="161">
        <v>4</v>
      </c>
      <c r="AH629" s="145"/>
    </row>
    <row r="630" spans="29:34" x14ac:dyDescent="0.15">
      <c r="AC630" s="159">
        <v>27855</v>
      </c>
      <c r="AD630" s="161">
        <v>53</v>
      </c>
      <c r="AE630" s="161">
        <v>6</v>
      </c>
      <c r="AF630" s="161">
        <v>29</v>
      </c>
      <c r="AG630" s="161">
        <v>3</v>
      </c>
      <c r="AH630" s="145"/>
    </row>
    <row r="631" spans="29:34" x14ac:dyDescent="0.15">
      <c r="AC631" s="159">
        <v>27885</v>
      </c>
      <c r="AD631" s="161">
        <v>53</v>
      </c>
      <c r="AE631" s="161">
        <v>6</v>
      </c>
      <c r="AF631" s="161">
        <v>30</v>
      </c>
      <c r="AG631" s="161">
        <v>2</v>
      </c>
      <c r="AH631" s="145"/>
    </row>
    <row r="632" spans="29:34" x14ac:dyDescent="0.15">
      <c r="AC632" s="159">
        <v>27916</v>
      </c>
      <c r="AD632" s="161">
        <v>53</v>
      </c>
      <c r="AE632" s="161">
        <v>6</v>
      </c>
      <c r="AF632" s="161">
        <v>31</v>
      </c>
      <c r="AG632" s="161">
        <v>1</v>
      </c>
      <c r="AH632" s="145"/>
    </row>
    <row r="633" spans="29:34" x14ac:dyDescent="0.15">
      <c r="AC633" s="159">
        <v>27948</v>
      </c>
      <c r="AD633" s="161">
        <v>53</v>
      </c>
      <c r="AE633" s="161">
        <v>6</v>
      </c>
      <c r="AF633" s="161">
        <v>32</v>
      </c>
      <c r="AG633" s="161">
        <v>9</v>
      </c>
      <c r="AH633" s="145"/>
    </row>
    <row r="634" spans="29:34" x14ac:dyDescent="0.15">
      <c r="AC634" s="159">
        <v>27979</v>
      </c>
      <c r="AD634" s="161">
        <v>53</v>
      </c>
      <c r="AE634" s="161">
        <v>6</v>
      </c>
      <c r="AF634" s="161">
        <v>33</v>
      </c>
      <c r="AG634" s="161">
        <v>8</v>
      </c>
      <c r="AH634" s="145"/>
    </row>
    <row r="635" spans="29:34" x14ac:dyDescent="0.15">
      <c r="AC635" s="159">
        <v>28010</v>
      </c>
      <c r="AD635" s="161">
        <v>53</v>
      </c>
      <c r="AE635" s="161">
        <v>6</v>
      </c>
      <c r="AF635" s="161">
        <v>34</v>
      </c>
      <c r="AG635" s="161">
        <v>7</v>
      </c>
      <c r="AH635" s="145"/>
    </row>
    <row r="636" spans="29:34" x14ac:dyDescent="0.15">
      <c r="AC636" s="159">
        <v>28041</v>
      </c>
      <c r="AD636" s="161">
        <v>53</v>
      </c>
      <c r="AE636" s="161">
        <v>6</v>
      </c>
      <c r="AF636" s="161">
        <v>35</v>
      </c>
      <c r="AG636" s="161">
        <v>6</v>
      </c>
      <c r="AH636" s="145"/>
    </row>
    <row r="637" spans="29:34" x14ac:dyDescent="0.15">
      <c r="AC637" s="159">
        <v>28071</v>
      </c>
      <c r="AD637" s="161">
        <v>53</v>
      </c>
      <c r="AE637" s="161">
        <v>6</v>
      </c>
      <c r="AF637" s="161">
        <v>36</v>
      </c>
      <c r="AG637" s="161">
        <v>5</v>
      </c>
      <c r="AH637" s="145"/>
    </row>
    <row r="638" spans="29:34" x14ac:dyDescent="0.15">
      <c r="AC638" s="159">
        <v>28101</v>
      </c>
      <c r="AD638" s="161">
        <v>53</v>
      </c>
      <c r="AE638" s="161">
        <v>6</v>
      </c>
      <c r="AF638" s="161">
        <v>37</v>
      </c>
      <c r="AG638" s="161">
        <v>4</v>
      </c>
      <c r="AH638" s="145"/>
    </row>
    <row r="639" spans="29:34" x14ac:dyDescent="0.15">
      <c r="AC639" s="159">
        <v>28130</v>
      </c>
      <c r="AD639" s="161">
        <v>53</v>
      </c>
      <c r="AE639" s="161">
        <v>6</v>
      </c>
      <c r="AF639" s="161">
        <v>38</v>
      </c>
      <c r="AG639" s="161">
        <v>3</v>
      </c>
      <c r="AH639" s="145"/>
    </row>
    <row r="640" spans="29:34" x14ac:dyDescent="0.15">
      <c r="AC640" s="159">
        <v>28160</v>
      </c>
      <c r="AD640" s="161">
        <v>54</v>
      </c>
      <c r="AE640" s="161">
        <v>5</v>
      </c>
      <c r="AF640" s="161">
        <v>39</v>
      </c>
      <c r="AG640" s="161">
        <v>2</v>
      </c>
      <c r="AH640" s="145"/>
    </row>
    <row r="641" spans="28:34" x14ac:dyDescent="0.15">
      <c r="AC641" s="159">
        <v>28190</v>
      </c>
      <c r="AD641" s="161">
        <v>54</v>
      </c>
      <c r="AE641" s="161">
        <v>5</v>
      </c>
      <c r="AF641" s="161">
        <v>40</v>
      </c>
      <c r="AG641" s="161">
        <v>1</v>
      </c>
      <c r="AH641" s="145"/>
    </row>
    <row r="642" spans="28:34" x14ac:dyDescent="0.15">
      <c r="AC642" s="159">
        <v>28220</v>
      </c>
      <c r="AD642" s="161">
        <v>54</v>
      </c>
      <c r="AE642" s="161">
        <v>5</v>
      </c>
      <c r="AF642" s="161">
        <v>41</v>
      </c>
      <c r="AG642" s="161">
        <v>9</v>
      </c>
      <c r="AH642" s="145"/>
    </row>
    <row r="643" spans="28:34" x14ac:dyDescent="0.15">
      <c r="AC643" s="159">
        <v>28251</v>
      </c>
      <c r="AD643" s="161">
        <v>54</v>
      </c>
      <c r="AE643" s="161">
        <v>5</v>
      </c>
      <c r="AF643" s="161">
        <v>42</v>
      </c>
      <c r="AG643" s="161">
        <v>8</v>
      </c>
      <c r="AH643" s="145"/>
    </row>
    <row r="644" spans="28:34" x14ac:dyDescent="0.15">
      <c r="AC644" s="159">
        <v>28282</v>
      </c>
      <c r="AD644" s="161">
        <v>54</v>
      </c>
      <c r="AE644" s="161">
        <v>5</v>
      </c>
      <c r="AF644" s="161">
        <v>43</v>
      </c>
      <c r="AG644" s="161">
        <v>7</v>
      </c>
      <c r="AH644" s="145"/>
    </row>
    <row r="645" spans="28:34" x14ac:dyDescent="0.15">
      <c r="AC645" s="159">
        <v>28313</v>
      </c>
      <c r="AD645" s="161">
        <v>54</v>
      </c>
      <c r="AE645" s="161">
        <v>5</v>
      </c>
      <c r="AF645" s="161">
        <v>44</v>
      </c>
      <c r="AG645" s="161">
        <v>6</v>
      </c>
      <c r="AH645" s="145"/>
    </row>
    <row r="646" spans="28:34" x14ac:dyDescent="0.15">
      <c r="AC646" s="159">
        <v>28345</v>
      </c>
      <c r="AD646" s="161">
        <v>54</v>
      </c>
      <c r="AE646" s="161">
        <v>5</v>
      </c>
      <c r="AF646" s="161">
        <v>45</v>
      </c>
      <c r="AG646" s="161">
        <v>5</v>
      </c>
      <c r="AH646" s="145"/>
    </row>
    <row r="647" spans="28:34" x14ac:dyDescent="0.15">
      <c r="AC647" s="159">
        <v>28376</v>
      </c>
      <c r="AD647" s="161">
        <v>54</v>
      </c>
      <c r="AE647" s="161">
        <v>5</v>
      </c>
      <c r="AF647" s="161">
        <v>46</v>
      </c>
      <c r="AG647" s="161">
        <v>4</v>
      </c>
      <c r="AH647" s="145"/>
    </row>
    <row r="648" spans="28:34" x14ac:dyDescent="0.15">
      <c r="AC648" s="159">
        <v>28406</v>
      </c>
      <c r="AD648" s="161">
        <v>54</v>
      </c>
      <c r="AE648" s="161">
        <v>5</v>
      </c>
      <c r="AF648" s="161">
        <v>47</v>
      </c>
      <c r="AG648" s="161">
        <v>3</v>
      </c>
      <c r="AH648" s="145"/>
    </row>
    <row r="649" spans="28:34" x14ac:dyDescent="0.15">
      <c r="AB649">
        <v>9</v>
      </c>
      <c r="AC649" s="159">
        <v>28436</v>
      </c>
      <c r="AD649" s="161">
        <v>54</v>
      </c>
      <c r="AE649" s="161">
        <v>5</v>
      </c>
      <c r="AF649" s="161">
        <v>48</v>
      </c>
      <c r="AG649" s="161">
        <v>2</v>
      </c>
      <c r="AH649" s="145"/>
    </row>
    <row r="650" spans="28:34" x14ac:dyDescent="0.15">
      <c r="AB650">
        <v>10</v>
      </c>
      <c r="AC650" s="159">
        <v>28466</v>
      </c>
      <c r="AD650" s="161">
        <v>54</v>
      </c>
      <c r="AE650" s="161">
        <v>5</v>
      </c>
      <c r="AF650" s="161">
        <v>49</v>
      </c>
      <c r="AG650" s="161">
        <v>1</v>
      </c>
      <c r="AH650" s="145"/>
    </row>
    <row r="651" spans="28:34" x14ac:dyDescent="0.15">
      <c r="AC651" s="159">
        <v>28496</v>
      </c>
      <c r="AD651" s="161">
        <v>54</v>
      </c>
      <c r="AE651" s="161">
        <v>5</v>
      </c>
      <c r="AF651" s="161">
        <v>50</v>
      </c>
      <c r="AG651" s="161">
        <v>9</v>
      </c>
      <c r="AH651" s="145"/>
    </row>
    <row r="652" spans="28:34" x14ac:dyDescent="0.15">
      <c r="AC652" s="159">
        <v>28525</v>
      </c>
      <c r="AD652" s="161">
        <v>55</v>
      </c>
      <c r="AE652" s="161">
        <v>4</v>
      </c>
      <c r="AF652" s="161">
        <v>51</v>
      </c>
      <c r="AG652" s="161">
        <v>8</v>
      </c>
      <c r="AH652" s="145"/>
    </row>
    <row r="653" spans="28:34" x14ac:dyDescent="0.15">
      <c r="AC653" s="159">
        <v>28555</v>
      </c>
      <c r="AD653" s="161">
        <v>55</v>
      </c>
      <c r="AE653" s="161">
        <v>4</v>
      </c>
      <c r="AF653" s="161">
        <v>52</v>
      </c>
      <c r="AG653" s="161">
        <v>7</v>
      </c>
      <c r="AH653" s="145"/>
    </row>
    <row r="654" spans="28:34" x14ac:dyDescent="0.15">
      <c r="AC654" s="159">
        <v>28585</v>
      </c>
      <c r="AD654" s="161">
        <v>55</v>
      </c>
      <c r="AE654" s="161">
        <v>4</v>
      </c>
      <c r="AF654" s="161">
        <v>53</v>
      </c>
      <c r="AG654" s="161">
        <v>6</v>
      </c>
      <c r="AH654" s="145"/>
    </row>
    <row r="655" spans="28:34" x14ac:dyDescent="0.15">
      <c r="AC655" s="159">
        <v>28616</v>
      </c>
      <c r="AD655" s="161">
        <v>55</v>
      </c>
      <c r="AE655" s="161">
        <v>4</v>
      </c>
      <c r="AF655" s="161">
        <v>54</v>
      </c>
      <c r="AG655" s="161">
        <v>5</v>
      </c>
      <c r="AH655" s="145"/>
    </row>
    <row r="656" spans="28:34" x14ac:dyDescent="0.15">
      <c r="AC656" s="159">
        <v>28647</v>
      </c>
      <c r="AD656" s="161">
        <v>55</v>
      </c>
      <c r="AE656" s="161">
        <v>4</v>
      </c>
      <c r="AF656" s="161">
        <v>55</v>
      </c>
      <c r="AG656" s="161">
        <v>4</v>
      </c>
      <c r="AH656" s="145"/>
    </row>
    <row r="657" spans="29:34" x14ac:dyDescent="0.15">
      <c r="AC657" s="159">
        <v>28678</v>
      </c>
      <c r="AD657" s="161">
        <v>55</v>
      </c>
      <c r="AE657" s="161">
        <v>4</v>
      </c>
      <c r="AF657" s="161">
        <v>56</v>
      </c>
      <c r="AG657" s="161">
        <v>3</v>
      </c>
      <c r="AH657" s="145"/>
    </row>
    <row r="658" spans="29:34" x14ac:dyDescent="0.15">
      <c r="AC658" s="159">
        <v>28710</v>
      </c>
      <c r="AD658" s="161">
        <v>55</v>
      </c>
      <c r="AE658" s="161">
        <v>4</v>
      </c>
      <c r="AF658" s="161">
        <v>57</v>
      </c>
      <c r="AG658" s="161">
        <v>2</v>
      </c>
      <c r="AH658" s="145"/>
    </row>
    <row r="659" spans="29:34" x14ac:dyDescent="0.15">
      <c r="AC659" s="159">
        <v>28741</v>
      </c>
      <c r="AD659" s="161">
        <v>55</v>
      </c>
      <c r="AE659" s="161">
        <v>4</v>
      </c>
      <c r="AF659" s="161">
        <v>58</v>
      </c>
      <c r="AG659" s="161">
        <v>1</v>
      </c>
      <c r="AH659" s="145"/>
    </row>
    <row r="660" spans="29:34" x14ac:dyDescent="0.15">
      <c r="AC660" s="159">
        <v>28772</v>
      </c>
      <c r="AD660" s="161">
        <v>55</v>
      </c>
      <c r="AE660" s="161">
        <v>4</v>
      </c>
      <c r="AF660" s="161">
        <v>59</v>
      </c>
      <c r="AG660" s="161">
        <v>9</v>
      </c>
      <c r="AH660" s="145"/>
    </row>
    <row r="661" spans="29:34" x14ac:dyDescent="0.15">
      <c r="AC661" s="159">
        <v>28802</v>
      </c>
      <c r="AD661" s="161">
        <v>55</v>
      </c>
      <c r="AE661" s="161">
        <v>4</v>
      </c>
      <c r="AF661" s="161">
        <v>60</v>
      </c>
      <c r="AG661" s="161">
        <v>8</v>
      </c>
      <c r="AH661" s="145"/>
    </row>
    <row r="662" spans="29:34" x14ac:dyDescent="0.15">
      <c r="AC662" s="159">
        <v>28831</v>
      </c>
      <c r="AD662" s="161">
        <v>55</v>
      </c>
      <c r="AE662" s="161">
        <v>4</v>
      </c>
      <c r="AF662" s="161">
        <v>1</v>
      </c>
      <c r="AG662" s="161">
        <v>7</v>
      </c>
      <c r="AH662" s="145"/>
    </row>
    <row r="663" spans="29:34" x14ac:dyDescent="0.15">
      <c r="AC663" s="159">
        <v>28861</v>
      </c>
      <c r="AD663" s="161">
        <v>55</v>
      </c>
      <c r="AE663" s="161">
        <v>4</v>
      </c>
      <c r="AF663" s="161">
        <v>2</v>
      </c>
      <c r="AG663" s="161">
        <v>6</v>
      </c>
      <c r="AH663" s="145"/>
    </row>
    <row r="664" spans="29:34" x14ac:dyDescent="0.15">
      <c r="AC664" s="159">
        <v>28890</v>
      </c>
      <c r="AD664" s="161">
        <v>56</v>
      </c>
      <c r="AE664" s="161">
        <v>3</v>
      </c>
      <c r="AF664" s="161">
        <v>3</v>
      </c>
      <c r="AG664" s="161">
        <v>5</v>
      </c>
      <c r="AH664" s="145"/>
    </row>
    <row r="665" spans="29:34" x14ac:dyDescent="0.15">
      <c r="AC665" s="159">
        <v>28920</v>
      </c>
      <c r="AD665" s="161">
        <v>56</v>
      </c>
      <c r="AE665" s="161">
        <v>3</v>
      </c>
      <c r="AF665" s="161">
        <v>4</v>
      </c>
      <c r="AG665" s="161">
        <v>4</v>
      </c>
      <c r="AH665" s="145"/>
    </row>
    <row r="666" spans="29:34" x14ac:dyDescent="0.15">
      <c r="AC666" s="159">
        <v>28950</v>
      </c>
      <c r="AD666" s="161">
        <v>56</v>
      </c>
      <c r="AE666" s="161">
        <v>3</v>
      </c>
      <c r="AF666" s="161">
        <v>5</v>
      </c>
      <c r="AG666" s="161">
        <v>3</v>
      </c>
      <c r="AH666" s="145"/>
    </row>
    <row r="667" spans="29:34" x14ac:dyDescent="0.15">
      <c r="AC667" s="159">
        <v>28981</v>
      </c>
      <c r="AD667" s="161">
        <v>56</v>
      </c>
      <c r="AE667" s="161">
        <v>3</v>
      </c>
      <c r="AF667" s="161">
        <v>6</v>
      </c>
      <c r="AG667" s="161">
        <v>2</v>
      </c>
      <c r="AH667" s="145"/>
    </row>
    <row r="668" spans="29:34" x14ac:dyDescent="0.15">
      <c r="AC668" s="159">
        <v>29012</v>
      </c>
      <c r="AD668" s="161">
        <v>56</v>
      </c>
      <c r="AE668" s="161">
        <v>3</v>
      </c>
      <c r="AF668" s="161">
        <v>7</v>
      </c>
      <c r="AG668" s="161">
        <v>1</v>
      </c>
      <c r="AH668" s="145"/>
    </row>
    <row r="669" spans="29:34" x14ac:dyDescent="0.15">
      <c r="AC669" s="159">
        <v>29044</v>
      </c>
      <c r="AD669" s="161">
        <v>56</v>
      </c>
      <c r="AE669" s="161">
        <v>3</v>
      </c>
      <c r="AF669" s="161">
        <v>8</v>
      </c>
      <c r="AG669" s="161">
        <v>9</v>
      </c>
      <c r="AH669" s="145"/>
    </row>
    <row r="670" spans="29:34" x14ac:dyDescent="0.15">
      <c r="AC670" s="159">
        <v>29075</v>
      </c>
      <c r="AD670" s="161">
        <v>56</v>
      </c>
      <c r="AE670" s="161">
        <v>3</v>
      </c>
      <c r="AF670" s="161">
        <v>9</v>
      </c>
      <c r="AG670" s="161">
        <v>8</v>
      </c>
      <c r="AH670" s="145"/>
    </row>
    <row r="671" spans="29:34" x14ac:dyDescent="0.15">
      <c r="AC671" s="159">
        <v>29106</v>
      </c>
      <c r="AD671" s="161">
        <v>56</v>
      </c>
      <c r="AE671" s="161">
        <v>3</v>
      </c>
      <c r="AF671" s="161">
        <v>10</v>
      </c>
      <c r="AG671" s="161">
        <v>7</v>
      </c>
      <c r="AH671" s="145"/>
    </row>
    <row r="672" spans="29:34" x14ac:dyDescent="0.15">
      <c r="AC672" s="159">
        <v>29137</v>
      </c>
      <c r="AD672" s="161">
        <v>56</v>
      </c>
      <c r="AE672" s="161">
        <v>3</v>
      </c>
      <c r="AF672" s="161">
        <v>11</v>
      </c>
      <c r="AG672" s="161">
        <v>6</v>
      </c>
      <c r="AH672" s="145"/>
    </row>
    <row r="673" spans="28:35" x14ac:dyDescent="0.15">
      <c r="AC673" s="159">
        <v>29167</v>
      </c>
      <c r="AD673" s="161">
        <v>56</v>
      </c>
      <c r="AE673" s="161">
        <v>3</v>
      </c>
      <c r="AF673" s="161">
        <v>12</v>
      </c>
      <c r="AG673" s="161">
        <v>5</v>
      </c>
      <c r="AH673" s="145"/>
    </row>
    <row r="674" spans="28:35" x14ac:dyDescent="0.15">
      <c r="AC674" s="159">
        <v>29197</v>
      </c>
      <c r="AD674" s="161">
        <v>56</v>
      </c>
      <c r="AE674" s="161">
        <v>3</v>
      </c>
      <c r="AF674" s="161">
        <v>13</v>
      </c>
      <c r="AG674" s="161">
        <v>4</v>
      </c>
      <c r="AH674" s="145"/>
    </row>
    <row r="675" spans="28:35" x14ac:dyDescent="0.15">
      <c r="AC675" s="159">
        <v>29226</v>
      </c>
      <c r="AD675" s="161">
        <v>56</v>
      </c>
      <c r="AE675" s="161">
        <v>3</v>
      </c>
      <c r="AF675" s="161">
        <v>14</v>
      </c>
      <c r="AG675" s="161">
        <v>3</v>
      </c>
      <c r="AH675" s="145"/>
    </row>
    <row r="676" spans="28:35" x14ac:dyDescent="0.15">
      <c r="AC676" s="159">
        <v>29256</v>
      </c>
      <c r="AD676" s="161">
        <v>57</v>
      </c>
      <c r="AE676" s="161">
        <v>2</v>
      </c>
      <c r="AF676" s="161">
        <v>15</v>
      </c>
      <c r="AG676" s="161">
        <v>2</v>
      </c>
      <c r="AH676" s="145"/>
    </row>
    <row r="677" spans="28:35" x14ac:dyDescent="0.15">
      <c r="AC677" s="159">
        <v>29285</v>
      </c>
      <c r="AD677" s="161">
        <v>57</v>
      </c>
      <c r="AE677" s="161">
        <v>2</v>
      </c>
      <c r="AF677" s="161">
        <v>16</v>
      </c>
      <c r="AG677" s="161">
        <v>1</v>
      </c>
      <c r="AH677" s="145"/>
    </row>
    <row r="678" spans="28:35" x14ac:dyDescent="0.15">
      <c r="AC678" s="159">
        <v>29316</v>
      </c>
      <c r="AD678" s="161">
        <v>57</v>
      </c>
      <c r="AE678" s="161">
        <v>2</v>
      </c>
      <c r="AF678" s="161">
        <v>17</v>
      </c>
      <c r="AG678" s="161">
        <v>9</v>
      </c>
      <c r="AH678" s="145"/>
    </row>
    <row r="679" spans="28:35" x14ac:dyDescent="0.15">
      <c r="AC679" s="159">
        <v>29346</v>
      </c>
      <c r="AD679" s="161">
        <v>57</v>
      </c>
      <c r="AE679" s="161">
        <v>2</v>
      </c>
      <c r="AF679" s="161">
        <v>18</v>
      </c>
      <c r="AG679" s="161">
        <v>8</v>
      </c>
      <c r="AH679" s="145"/>
    </row>
    <row r="680" spans="28:35" x14ac:dyDescent="0.15">
      <c r="AB680">
        <v>10</v>
      </c>
      <c r="AC680" s="159">
        <v>29377</v>
      </c>
      <c r="AD680" s="161">
        <v>57</v>
      </c>
      <c r="AE680" s="161">
        <v>2</v>
      </c>
      <c r="AF680" s="161">
        <v>19</v>
      </c>
      <c r="AG680" s="161">
        <v>7</v>
      </c>
      <c r="AH680" s="145"/>
    </row>
    <row r="681" spans="28:35" x14ac:dyDescent="0.15">
      <c r="AB681">
        <v>11</v>
      </c>
      <c r="AC681" s="159">
        <v>29409</v>
      </c>
      <c r="AD681" s="161">
        <v>57</v>
      </c>
      <c r="AE681" s="161">
        <v>2</v>
      </c>
      <c r="AF681" s="161">
        <v>20</v>
      </c>
      <c r="AG681" s="161">
        <v>6</v>
      </c>
      <c r="AH681" s="145"/>
      <c r="AI681" s="145"/>
    </row>
    <row r="682" spans="28:35" x14ac:dyDescent="0.15">
      <c r="AC682" s="159">
        <v>29440</v>
      </c>
      <c r="AD682" s="161">
        <v>57</v>
      </c>
      <c r="AE682" s="161">
        <v>2</v>
      </c>
      <c r="AF682" s="161">
        <v>21</v>
      </c>
      <c r="AG682" s="161">
        <v>5</v>
      </c>
      <c r="AH682" s="145"/>
    </row>
    <row r="683" spans="28:35" x14ac:dyDescent="0.15">
      <c r="AC683" s="159">
        <v>29471</v>
      </c>
      <c r="AD683" s="161">
        <v>57</v>
      </c>
      <c r="AE683" s="161">
        <v>2</v>
      </c>
      <c r="AF683" s="161">
        <v>22</v>
      </c>
      <c r="AG683" s="161">
        <v>4</v>
      </c>
      <c r="AH683" s="145"/>
    </row>
    <row r="684" spans="28:35" x14ac:dyDescent="0.15">
      <c r="AC684" s="159">
        <v>29502</v>
      </c>
      <c r="AD684" s="161">
        <v>57</v>
      </c>
      <c r="AE684" s="161">
        <v>2</v>
      </c>
      <c r="AF684" s="161">
        <v>23</v>
      </c>
      <c r="AG684" s="161">
        <v>3</v>
      </c>
      <c r="AH684" s="145"/>
    </row>
    <row r="685" spans="28:35" x14ac:dyDescent="0.15">
      <c r="AC685" s="159">
        <v>29532</v>
      </c>
      <c r="AD685" s="161">
        <v>57</v>
      </c>
      <c r="AE685" s="161">
        <v>2</v>
      </c>
      <c r="AF685" s="161">
        <v>24</v>
      </c>
      <c r="AG685" s="161">
        <v>2</v>
      </c>
      <c r="AH685" s="145"/>
    </row>
    <row r="686" spans="28:35" x14ac:dyDescent="0.15">
      <c r="AC686" s="159">
        <v>29562</v>
      </c>
      <c r="AD686" s="161">
        <v>57</v>
      </c>
      <c r="AE686" s="161">
        <v>2</v>
      </c>
      <c r="AF686" s="161">
        <v>25</v>
      </c>
      <c r="AG686" s="161">
        <v>1</v>
      </c>
      <c r="AH686" s="145"/>
    </row>
    <row r="687" spans="28:35" x14ac:dyDescent="0.15">
      <c r="AC687" s="159">
        <v>29591</v>
      </c>
      <c r="AD687" s="161">
        <v>57</v>
      </c>
      <c r="AE687" s="161">
        <v>2</v>
      </c>
      <c r="AF687" s="161">
        <v>26</v>
      </c>
      <c r="AG687" s="161">
        <v>9</v>
      </c>
      <c r="AH687" s="145"/>
    </row>
    <row r="688" spans="28:35" x14ac:dyDescent="0.15">
      <c r="AC688" s="159">
        <v>29621</v>
      </c>
      <c r="AD688" s="161">
        <v>58</v>
      </c>
      <c r="AE688" s="161">
        <v>1</v>
      </c>
      <c r="AF688" s="161">
        <v>27</v>
      </c>
      <c r="AG688" s="161">
        <v>8</v>
      </c>
      <c r="AH688" s="145"/>
    </row>
    <row r="689" spans="29:34" x14ac:dyDescent="0.15">
      <c r="AC689" s="159">
        <v>29651</v>
      </c>
      <c r="AD689" s="161">
        <v>58</v>
      </c>
      <c r="AE689" s="161">
        <v>1</v>
      </c>
      <c r="AF689" s="161">
        <v>28</v>
      </c>
      <c r="AG689" s="161">
        <v>7</v>
      </c>
      <c r="AH689" s="145"/>
    </row>
    <row r="690" spans="29:34" x14ac:dyDescent="0.15">
      <c r="AC690" s="159">
        <v>29681</v>
      </c>
      <c r="AD690" s="161">
        <v>58</v>
      </c>
      <c r="AE690" s="161">
        <v>1</v>
      </c>
      <c r="AF690" s="161">
        <v>29</v>
      </c>
      <c r="AG690" s="161">
        <v>6</v>
      </c>
      <c r="AH690" s="145"/>
    </row>
    <row r="691" spans="29:34" x14ac:dyDescent="0.15">
      <c r="AC691" s="159">
        <v>29711</v>
      </c>
      <c r="AD691" s="161">
        <v>58</v>
      </c>
      <c r="AE691" s="161">
        <v>1</v>
      </c>
      <c r="AF691" s="161">
        <v>30</v>
      </c>
      <c r="AG691" s="161">
        <v>5</v>
      </c>
      <c r="AH691" s="145"/>
    </row>
    <row r="692" spans="29:34" x14ac:dyDescent="0.15">
      <c r="AC692" s="159">
        <v>29743</v>
      </c>
      <c r="AD692" s="161">
        <v>58</v>
      </c>
      <c r="AE692" s="161">
        <v>1</v>
      </c>
      <c r="AF692" s="161">
        <v>31</v>
      </c>
      <c r="AG692" s="161">
        <v>4</v>
      </c>
      <c r="AH692" s="145"/>
    </row>
    <row r="693" spans="29:34" x14ac:dyDescent="0.15">
      <c r="AC693" s="159">
        <v>29774</v>
      </c>
      <c r="AD693" s="161">
        <v>58</v>
      </c>
      <c r="AE693" s="161">
        <v>1</v>
      </c>
      <c r="AF693" s="161">
        <v>32</v>
      </c>
      <c r="AG693" s="161">
        <v>3</v>
      </c>
      <c r="AH693" s="145"/>
    </row>
    <row r="694" spans="29:34" x14ac:dyDescent="0.15">
      <c r="AC694" s="159">
        <v>29805</v>
      </c>
      <c r="AD694" s="161">
        <v>58</v>
      </c>
      <c r="AE694" s="161">
        <v>1</v>
      </c>
      <c r="AF694" s="161">
        <v>33</v>
      </c>
      <c r="AG694" s="161">
        <v>2</v>
      </c>
      <c r="AH694" s="145"/>
    </row>
    <row r="695" spans="29:34" x14ac:dyDescent="0.15">
      <c r="AC695" s="159">
        <v>29837</v>
      </c>
      <c r="AD695" s="161">
        <v>58</v>
      </c>
      <c r="AE695" s="161">
        <v>1</v>
      </c>
      <c r="AF695" s="161">
        <v>34</v>
      </c>
      <c r="AG695" s="161">
        <v>1</v>
      </c>
      <c r="AH695" s="145"/>
    </row>
    <row r="696" spans="29:34" x14ac:dyDescent="0.15">
      <c r="AC696" s="159">
        <v>29867</v>
      </c>
      <c r="AD696" s="161">
        <v>58</v>
      </c>
      <c r="AE696" s="161">
        <v>1</v>
      </c>
      <c r="AF696" s="161">
        <v>35</v>
      </c>
      <c r="AG696" s="161">
        <v>9</v>
      </c>
      <c r="AH696" s="145"/>
    </row>
    <row r="697" spans="29:34" x14ac:dyDescent="0.15">
      <c r="AC697" s="159">
        <v>29897</v>
      </c>
      <c r="AD697" s="161">
        <v>58</v>
      </c>
      <c r="AE697" s="161">
        <v>1</v>
      </c>
      <c r="AF697" s="161">
        <v>36</v>
      </c>
      <c r="AG697" s="161">
        <v>8</v>
      </c>
      <c r="AH697" s="145"/>
    </row>
    <row r="698" spans="29:34" x14ac:dyDescent="0.15">
      <c r="AC698" s="159">
        <v>29927</v>
      </c>
      <c r="AD698" s="161">
        <v>58</v>
      </c>
      <c r="AE698" s="161">
        <v>1</v>
      </c>
      <c r="AF698" s="161">
        <v>37</v>
      </c>
      <c r="AG698" s="161">
        <v>7</v>
      </c>
      <c r="AH698" s="145"/>
    </row>
    <row r="699" spans="29:34" x14ac:dyDescent="0.15">
      <c r="AC699" s="159">
        <v>29957</v>
      </c>
      <c r="AD699" s="161">
        <v>58</v>
      </c>
      <c r="AE699" s="161">
        <v>1</v>
      </c>
      <c r="AF699" s="161">
        <v>38</v>
      </c>
      <c r="AG699" s="161">
        <v>6</v>
      </c>
      <c r="AH699" s="145"/>
    </row>
    <row r="700" spans="29:34" x14ac:dyDescent="0.15">
      <c r="AC700" s="159">
        <v>29986</v>
      </c>
      <c r="AD700" s="161">
        <v>59</v>
      </c>
      <c r="AE700" s="161">
        <v>9</v>
      </c>
      <c r="AF700" s="161">
        <v>39</v>
      </c>
      <c r="AG700" s="161">
        <v>5</v>
      </c>
      <c r="AH700" s="145"/>
    </row>
    <row r="701" spans="29:34" x14ac:dyDescent="0.15">
      <c r="AC701" s="159">
        <v>30016</v>
      </c>
      <c r="AD701" s="161">
        <v>59</v>
      </c>
      <c r="AE701" s="161">
        <v>9</v>
      </c>
      <c r="AF701" s="161">
        <v>40</v>
      </c>
      <c r="AG701" s="161">
        <v>4</v>
      </c>
      <c r="AH701" s="145"/>
    </row>
    <row r="702" spans="29:34" x14ac:dyDescent="0.15">
      <c r="AC702" s="159">
        <v>30046</v>
      </c>
      <c r="AD702" s="161">
        <v>59</v>
      </c>
      <c r="AE702" s="161">
        <v>9</v>
      </c>
      <c r="AF702" s="161">
        <v>41</v>
      </c>
      <c r="AG702" s="161">
        <v>3</v>
      </c>
      <c r="AH702" s="145"/>
    </row>
    <row r="703" spans="29:34" x14ac:dyDescent="0.15">
      <c r="AC703" s="159">
        <v>30077</v>
      </c>
      <c r="AD703" s="161">
        <v>59</v>
      </c>
      <c r="AE703" s="161">
        <v>9</v>
      </c>
      <c r="AF703" s="161">
        <v>42</v>
      </c>
      <c r="AG703" s="161">
        <v>2</v>
      </c>
      <c r="AH703" s="145"/>
    </row>
    <row r="704" spans="29:34" x14ac:dyDescent="0.15">
      <c r="AC704" s="159">
        <v>30108</v>
      </c>
      <c r="AD704" s="161">
        <v>59</v>
      </c>
      <c r="AE704" s="161">
        <v>9</v>
      </c>
      <c r="AF704" s="161">
        <v>43</v>
      </c>
      <c r="AG704" s="161">
        <v>1</v>
      </c>
      <c r="AH704" s="145"/>
    </row>
    <row r="705" spans="28:34" x14ac:dyDescent="0.15">
      <c r="AC705" s="159">
        <v>30139</v>
      </c>
      <c r="AD705" s="161">
        <v>59</v>
      </c>
      <c r="AE705" s="161">
        <v>9</v>
      </c>
      <c r="AF705" s="161">
        <v>44</v>
      </c>
      <c r="AG705" s="161">
        <v>9</v>
      </c>
      <c r="AH705" s="145"/>
    </row>
    <row r="706" spans="28:34" x14ac:dyDescent="0.15">
      <c r="AC706" s="159">
        <v>30171</v>
      </c>
      <c r="AD706" s="161">
        <v>59</v>
      </c>
      <c r="AE706" s="161">
        <v>9</v>
      </c>
      <c r="AF706" s="161">
        <v>45</v>
      </c>
      <c r="AG706" s="161">
        <v>8</v>
      </c>
      <c r="AH706" s="145"/>
    </row>
    <row r="707" spans="28:34" x14ac:dyDescent="0.15">
      <c r="AC707" s="159">
        <v>30202</v>
      </c>
      <c r="AD707" s="161">
        <v>59</v>
      </c>
      <c r="AE707" s="161">
        <v>9</v>
      </c>
      <c r="AF707" s="161">
        <v>46</v>
      </c>
      <c r="AG707" s="161">
        <v>7</v>
      </c>
      <c r="AH707" s="145"/>
    </row>
    <row r="708" spans="28:34" x14ac:dyDescent="0.15">
      <c r="AC708" s="159">
        <v>30233</v>
      </c>
      <c r="AD708" s="161">
        <v>59</v>
      </c>
      <c r="AE708" s="161">
        <v>9</v>
      </c>
      <c r="AF708" s="161">
        <v>47</v>
      </c>
      <c r="AG708" s="161">
        <v>6</v>
      </c>
      <c r="AH708" s="145"/>
    </row>
    <row r="709" spans="28:34" x14ac:dyDescent="0.15">
      <c r="AB709">
        <v>11</v>
      </c>
      <c r="AC709" s="159">
        <v>30263</v>
      </c>
      <c r="AD709" s="161">
        <v>59</v>
      </c>
      <c r="AE709" s="161">
        <v>9</v>
      </c>
      <c r="AF709" s="161">
        <v>48</v>
      </c>
      <c r="AG709" s="161">
        <v>5</v>
      </c>
      <c r="AH709" s="145"/>
    </row>
    <row r="710" spans="28:34" x14ac:dyDescent="0.15">
      <c r="AB710">
        <v>12</v>
      </c>
      <c r="AC710" s="159">
        <v>30292</v>
      </c>
      <c r="AD710" s="161">
        <v>59</v>
      </c>
      <c r="AE710" s="161">
        <v>9</v>
      </c>
      <c r="AF710" s="161">
        <v>49</v>
      </c>
      <c r="AG710" s="161">
        <v>4</v>
      </c>
      <c r="AH710" s="145"/>
    </row>
    <row r="711" spans="28:34" x14ac:dyDescent="0.15">
      <c r="AC711" s="159">
        <v>30322</v>
      </c>
      <c r="AD711" s="161">
        <v>59</v>
      </c>
      <c r="AE711" s="161">
        <v>9</v>
      </c>
      <c r="AF711" s="161">
        <v>50</v>
      </c>
      <c r="AG711" s="161">
        <v>3</v>
      </c>
      <c r="AH711" s="145"/>
    </row>
    <row r="712" spans="28:34" x14ac:dyDescent="0.15">
      <c r="AC712" s="159">
        <v>30351</v>
      </c>
      <c r="AD712" s="161">
        <v>60</v>
      </c>
      <c r="AE712" s="161">
        <v>8</v>
      </c>
      <c r="AF712" s="161">
        <v>51</v>
      </c>
      <c r="AG712" s="161">
        <v>2</v>
      </c>
      <c r="AH712" s="145"/>
    </row>
    <row r="713" spans="28:34" x14ac:dyDescent="0.15">
      <c r="AC713" s="159">
        <v>30381</v>
      </c>
      <c r="AD713" s="161">
        <v>60</v>
      </c>
      <c r="AE713" s="161">
        <v>8</v>
      </c>
      <c r="AF713" s="161">
        <v>52</v>
      </c>
      <c r="AG713" s="161">
        <v>1</v>
      </c>
      <c r="AH713" s="145"/>
    </row>
    <row r="714" spans="28:34" x14ac:dyDescent="0.15">
      <c r="AC714" s="159">
        <v>30411</v>
      </c>
      <c r="AD714" s="161">
        <v>60</v>
      </c>
      <c r="AE714" s="161">
        <v>8</v>
      </c>
      <c r="AF714" s="161">
        <v>53</v>
      </c>
      <c r="AG714" s="161">
        <v>9</v>
      </c>
      <c r="AH714" s="145"/>
    </row>
    <row r="715" spans="28:34" x14ac:dyDescent="0.15">
      <c r="AC715" s="159">
        <v>30442</v>
      </c>
      <c r="AD715" s="161">
        <v>60</v>
      </c>
      <c r="AE715" s="161">
        <v>8</v>
      </c>
      <c r="AF715" s="161">
        <v>54</v>
      </c>
      <c r="AG715" s="161">
        <v>8</v>
      </c>
      <c r="AH715" s="145"/>
    </row>
    <row r="716" spans="28:34" x14ac:dyDescent="0.15">
      <c r="AC716" s="159">
        <v>30473</v>
      </c>
      <c r="AD716" s="161">
        <v>60</v>
      </c>
      <c r="AE716" s="161">
        <v>8</v>
      </c>
      <c r="AF716" s="161">
        <v>55</v>
      </c>
      <c r="AG716" s="161">
        <v>7</v>
      </c>
      <c r="AH716" s="145"/>
    </row>
    <row r="717" spans="28:34" x14ac:dyDescent="0.15">
      <c r="AC717" s="159">
        <v>30505</v>
      </c>
      <c r="AD717" s="161">
        <v>60</v>
      </c>
      <c r="AE717" s="161">
        <v>8</v>
      </c>
      <c r="AF717" s="161">
        <v>56</v>
      </c>
      <c r="AG717" s="161">
        <v>6</v>
      </c>
      <c r="AH717" s="145"/>
    </row>
    <row r="718" spans="28:34" x14ac:dyDescent="0.15">
      <c r="AC718" s="159">
        <v>30536</v>
      </c>
      <c r="AD718" s="161">
        <v>60</v>
      </c>
      <c r="AE718" s="161">
        <v>8</v>
      </c>
      <c r="AF718" s="161">
        <v>57</v>
      </c>
      <c r="AG718" s="161">
        <v>5</v>
      </c>
      <c r="AH718" s="145"/>
    </row>
    <row r="719" spans="28:34" x14ac:dyDescent="0.15">
      <c r="AC719" s="159">
        <v>30567</v>
      </c>
      <c r="AD719" s="161">
        <v>60</v>
      </c>
      <c r="AE719" s="161">
        <v>8</v>
      </c>
      <c r="AF719" s="161">
        <v>58</v>
      </c>
      <c r="AG719" s="161">
        <v>4</v>
      </c>
      <c r="AH719" s="145"/>
    </row>
    <row r="720" spans="28:34" x14ac:dyDescent="0.15">
      <c r="AC720" s="159">
        <v>30598</v>
      </c>
      <c r="AD720" s="161">
        <v>60</v>
      </c>
      <c r="AE720" s="161">
        <v>8</v>
      </c>
      <c r="AF720" s="161">
        <v>59</v>
      </c>
      <c r="AG720" s="161">
        <v>3</v>
      </c>
      <c r="AH720" s="145"/>
    </row>
    <row r="721" spans="29:34" x14ac:dyDescent="0.15">
      <c r="AC721" s="159">
        <v>30628</v>
      </c>
      <c r="AD721" s="161">
        <v>60</v>
      </c>
      <c r="AE721" s="161">
        <v>8</v>
      </c>
      <c r="AF721" s="161">
        <v>60</v>
      </c>
      <c r="AG721" s="161">
        <v>2</v>
      </c>
      <c r="AH721" s="145"/>
    </row>
    <row r="722" spans="29:34" x14ac:dyDescent="0.15">
      <c r="AC722" s="159">
        <v>30658</v>
      </c>
      <c r="AD722" s="161">
        <v>60</v>
      </c>
      <c r="AE722" s="161">
        <v>8</v>
      </c>
      <c r="AF722" s="161">
        <v>1</v>
      </c>
      <c r="AG722" s="161">
        <v>1</v>
      </c>
      <c r="AH722" s="145"/>
    </row>
    <row r="723" spans="29:34" x14ac:dyDescent="0.15">
      <c r="AC723" s="159">
        <v>30687</v>
      </c>
      <c r="AD723" s="161">
        <v>60</v>
      </c>
      <c r="AE723" s="161">
        <v>8</v>
      </c>
      <c r="AF723" s="161">
        <v>2</v>
      </c>
      <c r="AG723" s="161">
        <v>9</v>
      </c>
      <c r="AH723" s="145"/>
    </row>
    <row r="724" spans="29:34" x14ac:dyDescent="0.15">
      <c r="AC724" s="159">
        <v>30717</v>
      </c>
      <c r="AD724" s="161">
        <v>1</v>
      </c>
      <c r="AE724" s="161">
        <v>7</v>
      </c>
      <c r="AF724" s="161">
        <v>3</v>
      </c>
      <c r="AG724" s="161">
        <v>8</v>
      </c>
      <c r="AH724" s="145"/>
    </row>
    <row r="725" spans="29:34" x14ac:dyDescent="0.15">
      <c r="AC725" s="159">
        <v>30746</v>
      </c>
      <c r="AD725" s="161">
        <v>1</v>
      </c>
      <c r="AE725" s="161">
        <v>7</v>
      </c>
      <c r="AF725" s="161">
        <v>4</v>
      </c>
      <c r="AG725" s="161">
        <v>7</v>
      </c>
      <c r="AH725" s="145"/>
    </row>
    <row r="726" spans="29:34" x14ac:dyDescent="0.15">
      <c r="AC726" s="159">
        <v>30776</v>
      </c>
      <c r="AD726" s="161">
        <v>1</v>
      </c>
      <c r="AE726" s="161">
        <v>7</v>
      </c>
      <c r="AF726" s="161">
        <v>5</v>
      </c>
      <c r="AG726" s="161">
        <v>6</v>
      </c>
      <c r="AH726" s="145"/>
    </row>
    <row r="727" spans="29:34" x14ac:dyDescent="0.15">
      <c r="AC727" s="159">
        <v>30807</v>
      </c>
      <c r="AD727" s="161">
        <v>1</v>
      </c>
      <c r="AE727" s="161">
        <v>7</v>
      </c>
      <c r="AF727" s="161">
        <v>6</v>
      </c>
      <c r="AG727" s="161">
        <v>5</v>
      </c>
      <c r="AH727" s="145"/>
    </row>
    <row r="728" spans="29:34" x14ac:dyDescent="0.15">
      <c r="AC728" s="159">
        <v>30838</v>
      </c>
      <c r="AD728" s="161">
        <v>1</v>
      </c>
      <c r="AE728" s="161">
        <v>7</v>
      </c>
      <c r="AF728" s="161">
        <v>7</v>
      </c>
      <c r="AG728" s="161">
        <v>4</v>
      </c>
      <c r="AH728" s="145"/>
    </row>
    <row r="729" spans="29:34" x14ac:dyDescent="0.15">
      <c r="AC729" s="159">
        <v>30870</v>
      </c>
      <c r="AD729" s="161">
        <v>1</v>
      </c>
      <c r="AE729" s="161">
        <v>7</v>
      </c>
      <c r="AF729" s="161">
        <v>8</v>
      </c>
      <c r="AG729" s="161">
        <v>3</v>
      </c>
      <c r="AH729" s="145"/>
    </row>
    <row r="730" spans="29:34" x14ac:dyDescent="0.15">
      <c r="AC730" s="159">
        <v>30901</v>
      </c>
      <c r="AD730" s="161">
        <v>1</v>
      </c>
      <c r="AE730" s="161">
        <v>7</v>
      </c>
      <c r="AF730" s="161">
        <v>9</v>
      </c>
      <c r="AG730" s="161">
        <v>2</v>
      </c>
      <c r="AH730" s="145"/>
    </row>
    <row r="731" spans="29:34" x14ac:dyDescent="0.15">
      <c r="AC731" s="159">
        <v>30932</v>
      </c>
      <c r="AD731" s="161">
        <v>1</v>
      </c>
      <c r="AE731" s="161">
        <v>7</v>
      </c>
      <c r="AF731" s="161">
        <v>10</v>
      </c>
      <c r="AG731" s="161">
        <v>1</v>
      </c>
      <c r="AH731" s="145"/>
    </row>
    <row r="732" spans="29:34" x14ac:dyDescent="0.15">
      <c r="AC732" s="159">
        <v>30963</v>
      </c>
      <c r="AD732" s="161">
        <v>1</v>
      </c>
      <c r="AE732" s="161">
        <v>7</v>
      </c>
      <c r="AF732" s="161">
        <v>11</v>
      </c>
      <c r="AG732" s="161">
        <v>9</v>
      </c>
      <c r="AH732" s="145"/>
    </row>
    <row r="733" spans="29:34" x14ac:dyDescent="0.15">
      <c r="AC733" s="159">
        <v>30993</v>
      </c>
      <c r="AD733" s="161">
        <v>1</v>
      </c>
      <c r="AE733" s="161">
        <v>7</v>
      </c>
      <c r="AF733" s="161">
        <v>12</v>
      </c>
      <c r="AG733" s="161">
        <v>8</v>
      </c>
      <c r="AH733" s="145"/>
    </row>
    <row r="734" spans="29:34" x14ac:dyDescent="0.15">
      <c r="AC734" s="159">
        <v>31023</v>
      </c>
      <c r="AD734" s="161">
        <v>1</v>
      </c>
      <c r="AE734" s="161">
        <v>7</v>
      </c>
      <c r="AF734" s="161">
        <v>13</v>
      </c>
      <c r="AG734" s="161">
        <v>7</v>
      </c>
      <c r="AH734" s="145"/>
    </row>
    <row r="735" spans="29:34" x14ac:dyDescent="0.15">
      <c r="AC735" s="159">
        <v>31052</v>
      </c>
      <c r="AD735" s="161">
        <v>1</v>
      </c>
      <c r="AE735" s="161">
        <v>7</v>
      </c>
      <c r="AF735" s="161">
        <v>14</v>
      </c>
      <c r="AG735" s="161">
        <v>6</v>
      </c>
      <c r="AH735" s="145"/>
    </row>
    <row r="736" spans="29:34" x14ac:dyDescent="0.15">
      <c r="AC736" s="159">
        <v>31082</v>
      </c>
      <c r="AD736" s="161">
        <v>2</v>
      </c>
      <c r="AE736" s="161">
        <v>6</v>
      </c>
      <c r="AF736" s="161">
        <v>15</v>
      </c>
      <c r="AG736" s="161">
        <v>5</v>
      </c>
      <c r="AH736" s="145"/>
    </row>
    <row r="737" spans="28:34" x14ac:dyDescent="0.15">
      <c r="AC737" s="159">
        <v>31112</v>
      </c>
      <c r="AD737" s="161">
        <v>2</v>
      </c>
      <c r="AE737" s="161">
        <v>6</v>
      </c>
      <c r="AF737" s="161">
        <v>16</v>
      </c>
      <c r="AG737" s="161">
        <v>4</v>
      </c>
      <c r="AH737" s="145"/>
    </row>
    <row r="738" spans="28:34" x14ac:dyDescent="0.15">
      <c r="AC738" s="159">
        <v>31142</v>
      </c>
      <c r="AD738" s="161">
        <v>2</v>
      </c>
      <c r="AE738" s="161">
        <v>6</v>
      </c>
      <c r="AF738" s="161">
        <v>17</v>
      </c>
      <c r="AG738" s="161">
        <v>3</v>
      </c>
      <c r="AH738" s="145"/>
    </row>
    <row r="739" spans="28:34" x14ac:dyDescent="0.15">
      <c r="AB739">
        <v>12</v>
      </c>
      <c r="AC739" s="159">
        <v>31172</v>
      </c>
      <c r="AD739" s="161">
        <v>2</v>
      </c>
      <c r="AE739" s="161">
        <v>6</v>
      </c>
      <c r="AF739" s="161">
        <v>18</v>
      </c>
      <c r="AG739" s="161">
        <v>2</v>
      </c>
      <c r="AH739" s="145"/>
    </row>
    <row r="740" spans="28:34" x14ac:dyDescent="0.15">
      <c r="AB740">
        <v>1</v>
      </c>
      <c r="AC740" s="159">
        <v>31204</v>
      </c>
      <c r="AD740" s="161">
        <v>2</v>
      </c>
      <c r="AE740" s="161">
        <v>6</v>
      </c>
      <c r="AF740" s="161">
        <v>19</v>
      </c>
      <c r="AG740" s="161">
        <v>1</v>
      </c>
      <c r="AH740" s="145"/>
    </row>
    <row r="741" spans="28:34" x14ac:dyDescent="0.15">
      <c r="AC741" s="159">
        <v>31235</v>
      </c>
      <c r="AD741" s="161">
        <v>2</v>
      </c>
      <c r="AE741" s="161">
        <v>6</v>
      </c>
      <c r="AF741" s="161">
        <v>20</v>
      </c>
      <c r="AG741" s="161">
        <v>9</v>
      </c>
      <c r="AH741" s="145"/>
    </row>
    <row r="742" spans="28:34" x14ac:dyDescent="0.15">
      <c r="AC742" s="159">
        <v>31266</v>
      </c>
      <c r="AD742" s="161">
        <v>2</v>
      </c>
      <c r="AE742" s="161">
        <v>6</v>
      </c>
      <c r="AF742" s="161">
        <v>21</v>
      </c>
      <c r="AG742" s="161">
        <v>8</v>
      </c>
      <c r="AH742" s="145"/>
    </row>
    <row r="743" spans="28:34" x14ac:dyDescent="0.15">
      <c r="AC743" s="159">
        <v>31298</v>
      </c>
      <c r="AD743" s="161">
        <v>2</v>
      </c>
      <c r="AE743" s="161">
        <v>6</v>
      </c>
      <c r="AF743" s="161">
        <v>22</v>
      </c>
      <c r="AG743" s="161">
        <v>7</v>
      </c>
      <c r="AH743" s="145"/>
    </row>
    <row r="744" spans="28:34" x14ac:dyDescent="0.15">
      <c r="AC744" s="159">
        <v>31328</v>
      </c>
      <c r="AD744" s="161">
        <v>2</v>
      </c>
      <c r="AE744" s="161">
        <v>6</v>
      </c>
      <c r="AF744" s="161">
        <v>23</v>
      </c>
      <c r="AG744" s="161">
        <v>6</v>
      </c>
      <c r="AH744" s="145"/>
    </row>
    <row r="745" spans="28:34" x14ac:dyDescent="0.15">
      <c r="AC745" s="159">
        <v>31358</v>
      </c>
      <c r="AD745" s="161">
        <v>2</v>
      </c>
      <c r="AE745" s="161">
        <v>6</v>
      </c>
      <c r="AF745" s="161">
        <v>24</v>
      </c>
      <c r="AG745" s="161">
        <v>5</v>
      </c>
      <c r="AH745" s="145"/>
    </row>
    <row r="746" spans="28:34" x14ac:dyDescent="0.15">
      <c r="AC746" s="159">
        <v>31388</v>
      </c>
      <c r="AD746" s="161">
        <v>2</v>
      </c>
      <c r="AE746" s="161">
        <v>6</v>
      </c>
      <c r="AF746" s="161">
        <v>25</v>
      </c>
      <c r="AG746" s="161">
        <v>4</v>
      </c>
      <c r="AH746" s="145"/>
    </row>
    <row r="747" spans="28:34" x14ac:dyDescent="0.15">
      <c r="AC747" s="159">
        <v>31418</v>
      </c>
      <c r="AD747" s="161">
        <v>2</v>
      </c>
      <c r="AE747" s="161">
        <v>6</v>
      </c>
      <c r="AF747" s="161">
        <v>26</v>
      </c>
      <c r="AG747" s="161">
        <v>3</v>
      </c>
      <c r="AH747" s="145"/>
    </row>
    <row r="748" spans="28:34" x14ac:dyDescent="0.15">
      <c r="AC748" s="159">
        <v>31447</v>
      </c>
      <c r="AD748" s="161">
        <v>3</v>
      </c>
      <c r="AE748" s="161">
        <v>5</v>
      </c>
      <c r="AF748" s="161">
        <v>27</v>
      </c>
      <c r="AG748" s="161">
        <v>2</v>
      </c>
      <c r="AH748" s="145"/>
    </row>
    <row r="749" spans="28:34" x14ac:dyDescent="0.15">
      <c r="AC749" s="159">
        <v>31477</v>
      </c>
      <c r="AD749" s="161">
        <v>3</v>
      </c>
      <c r="AE749" s="161">
        <v>5</v>
      </c>
      <c r="AF749" s="161">
        <v>28</v>
      </c>
      <c r="AG749" s="161">
        <v>1</v>
      </c>
      <c r="AH749" s="145"/>
    </row>
    <row r="750" spans="28:34" x14ac:dyDescent="0.15">
      <c r="AC750" s="159">
        <v>31507</v>
      </c>
      <c r="AD750" s="161">
        <v>3</v>
      </c>
      <c r="AE750" s="161">
        <v>5</v>
      </c>
      <c r="AF750" s="161">
        <v>29</v>
      </c>
      <c r="AG750" s="161">
        <v>9</v>
      </c>
      <c r="AH750" s="145"/>
    </row>
    <row r="751" spans="28:34" x14ac:dyDescent="0.15">
      <c r="AC751" s="159">
        <v>31538</v>
      </c>
      <c r="AD751" s="161">
        <v>3</v>
      </c>
      <c r="AE751" s="161">
        <v>5</v>
      </c>
      <c r="AF751" s="161">
        <v>30</v>
      </c>
      <c r="AG751" s="161">
        <v>8</v>
      </c>
      <c r="AH751" s="145"/>
    </row>
    <row r="752" spans="28:34" x14ac:dyDescent="0.15">
      <c r="AC752" s="159">
        <v>31569</v>
      </c>
      <c r="AD752" s="161">
        <v>3</v>
      </c>
      <c r="AE752" s="161">
        <v>5</v>
      </c>
      <c r="AF752" s="161">
        <v>31</v>
      </c>
      <c r="AG752" s="161">
        <v>7</v>
      </c>
      <c r="AH752" s="145"/>
    </row>
    <row r="753" spans="26:34" x14ac:dyDescent="0.15">
      <c r="AC753" s="159">
        <v>31600</v>
      </c>
      <c r="AD753" s="161">
        <v>3</v>
      </c>
      <c r="AE753" s="161">
        <v>5</v>
      </c>
      <c r="AF753" s="161">
        <v>32</v>
      </c>
      <c r="AG753" s="161">
        <v>6</v>
      </c>
      <c r="AH753" s="145"/>
    </row>
    <row r="754" spans="26:34" x14ac:dyDescent="0.15">
      <c r="AC754" s="159">
        <v>31632</v>
      </c>
      <c r="AD754" s="161">
        <v>3</v>
      </c>
      <c r="AE754" s="161">
        <v>5</v>
      </c>
      <c r="AF754" s="161">
        <v>33</v>
      </c>
      <c r="AG754" s="161">
        <v>5</v>
      </c>
      <c r="AH754" s="145"/>
    </row>
    <row r="755" spans="26:34" x14ac:dyDescent="0.15">
      <c r="AC755" s="159">
        <v>31663</v>
      </c>
      <c r="AD755" s="161">
        <v>3</v>
      </c>
      <c r="AE755" s="161">
        <v>5</v>
      </c>
      <c r="AF755" s="161">
        <v>34</v>
      </c>
      <c r="AG755" s="161">
        <v>4</v>
      </c>
      <c r="AH755" s="145"/>
    </row>
    <row r="756" spans="26:34" x14ac:dyDescent="0.15">
      <c r="AC756" s="159">
        <v>31693</v>
      </c>
      <c r="AD756" s="161">
        <v>3</v>
      </c>
      <c r="AE756" s="161">
        <v>5</v>
      </c>
      <c r="AF756" s="161">
        <v>35</v>
      </c>
      <c r="AG756" s="161">
        <v>3</v>
      </c>
      <c r="AH756" s="145"/>
    </row>
    <row r="757" spans="26:34" x14ac:dyDescent="0.15">
      <c r="AC757" s="159">
        <v>31724</v>
      </c>
      <c r="AD757" s="161">
        <v>3</v>
      </c>
      <c r="AE757" s="161">
        <v>5</v>
      </c>
      <c r="AF757" s="161">
        <v>36</v>
      </c>
      <c r="AG757" s="161">
        <v>2</v>
      </c>
      <c r="AH757" s="145"/>
    </row>
    <row r="758" spans="26:34" x14ac:dyDescent="0.15">
      <c r="AC758" s="159">
        <v>31753</v>
      </c>
      <c r="AD758" s="161">
        <v>3</v>
      </c>
      <c r="AE758" s="161">
        <v>5</v>
      </c>
      <c r="AF758" s="161">
        <v>37</v>
      </c>
      <c r="AG758" s="161">
        <v>1</v>
      </c>
      <c r="AH758" s="145"/>
    </row>
    <row r="759" spans="26:34" x14ac:dyDescent="0.15">
      <c r="AC759" s="159">
        <v>31783</v>
      </c>
      <c r="AD759" s="161">
        <v>3</v>
      </c>
      <c r="AE759" s="161">
        <v>5</v>
      </c>
      <c r="AF759" s="161">
        <v>38</v>
      </c>
      <c r="AG759" s="161">
        <v>9</v>
      </c>
      <c r="AH759" s="145"/>
    </row>
    <row r="760" spans="26:34" x14ac:dyDescent="0.15">
      <c r="AC760" s="159">
        <v>31812</v>
      </c>
      <c r="AD760" s="161">
        <v>4</v>
      </c>
      <c r="AE760" s="161">
        <v>4</v>
      </c>
      <c r="AF760" s="161">
        <v>39</v>
      </c>
      <c r="AG760" s="161">
        <v>8</v>
      </c>
      <c r="AH760" s="145"/>
    </row>
    <row r="761" spans="26:34" x14ac:dyDescent="0.15">
      <c r="AC761" s="159">
        <v>31842</v>
      </c>
      <c r="AD761" s="161">
        <v>4</v>
      </c>
      <c r="AE761" s="161">
        <v>4</v>
      </c>
      <c r="AF761" s="161">
        <v>40</v>
      </c>
      <c r="AG761" s="161">
        <v>7</v>
      </c>
      <c r="AH761" s="145"/>
    </row>
    <row r="762" spans="26:34" x14ac:dyDescent="0.15">
      <c r="AC762" s="159">
        <v>31872</v>
      </c>
      <c r="AD762" s="161">
        <v>4</v>
      </c>
      <c r="AE762" s="161">
        <v>4</v>
      </c>
      <c r="AF762" s="161">
        <v>41</v>
      </c>
      <c r="AG762" s="161">
        <v>6</v>
      </c>
      <c r="AH762" s="145"/>
    </row>
    <row r="763" spans="26:34" x14ac:dyDescent="0.15">
      <c r="AC763" s="159">
        <v>31903</v>
      </c>
      <c r="AD763" s="161">
        <v>4</v>
      </c>
      <c r="AE763" s="161">
        <v>4</v>
      </c>
      <c r="AF763" s="161">
        <v>42</v>
      </c>
      <c r="AG763" s="161">
        <v>5</v>
      </c>
      <c r="AH763" s="145"/>
    </row>
    <row r="764" spans="26:34" x14ac:dyDescent="0.15">
      <c r="AC764" s="159">
        <v>31934</v>
      </c>
      <c r="AD764" s="161">
        <v>4</v>
      </c>
      <c r="AE764" s="161">
        <v>4</v>
      </c>
      <c r="AF764" s="161">
        <v>43</v>
      </c>
      <c r="AG764" s="161">
        <v>4</v>
      </c>
      <c r="AH764" s="145"/>
    </row>
    <row r="765" spans="26:34" x14ac:dyDescent="0.15">
      <c r="AC765" s="159">
        <v>31966</v>
      </c>
      <c r="AD765" s="161">
        <v>4</v>
      </c>
      <c r="AE765" s="161">
        <v>4</v>
      </c>
      <c r="AF765" s="161">
        <v>44</v>
      </c>
      <c r="AG765" s="161">
        <v>3</v>
      </c>
      <c r="AH765" s="145"/>
    </row>
    <row r="766" spans="26:34" x14ac:dyDescent="0.15">
      <c r="AC766" s="159">
        <v>31997</v>
      </c>
      <c r="AD766" s="161">
        <v>4</v>
      </c>
      <c r="AE766" s="161">
        <v>4</v>
      </c>
      <c r="AF766" s="161">
        <v>45</v>
      </c>
      <c r="AG766" s="161">
        <v>2</v>
      </c>
      <c r="AH766" s="145"/>
    </row>
    <row r="767" spans="26:34" x14ac:dyDescent="0.15">
      <c r="AC767" s="159">
        <v>32028</v>
      </c>
      <c r="AD767" s="161">
        <v>4</v>
      </c>
      <c r="AE767" s="161">
        <v>4</v>
      </c>
      <c r="AF767" s="161">
        <v>46</v>
      </c>
      <c r="AG767" s="161">
        <v>1</v>
      </c>
      <c r="AH767" s="145"/>
    </row>
    <row r="768" spans="26:34" x14ac:dyDescent="0.15">
      <c r="Z768">
        <v>2015</v>
      </c>
      <c r="AB768">
        <v>1</v>
      </c>
      <c r="AC768" s="159">
        <v>32059</v>
      </c>
      <c r="AD768" s="161">
        <v>4</v>
      </c>
      <c r="AE768" s="161">
        <v>4</v>
      </c>
      <c r="AF768" s="161">
        <v>47</v>
      </c>
      <c r="AG768" s="161">
        <v>9</v>
      </c>
      <c r="AH768" s="145"/>
    </row>
    <row r="769" spans="26:34" x14ac:dyDescent="0.15">
      <c r="Z769">
        <v>2016</v>
      </c>
      <c r="AB769">
        <v>2</v>
      </c>
      <c r="AC769" s="159">
        <v>32089</v>
      </c>
      <c r="AD769" s="161">
        <v>4</v>
      </c>
      <c r="AE769" s="161">
        <v>4</v>
      </c>
      <c r="AF769" s="161">
        <v>48</v>
      </c>
      <c r="AG769" s="161">
        <v>8</v>
      </c>
      <c r="AH769" s="145"/>
    </row>
    <row r="770" spans="26:34" x14ac:dyDescent="0.15">
      <c r="AC770" s="159">
        <v>32119</v>
      </c>
      <c r="AD770" s="161">
        <v>4</v>
      </c>
      <c r="AE770" s="161">
        <v>4</v>
      </c>
      <c r="AF770" s="161">
        <v>49</v>
      </c>
      <c r="AG770" s="161">
        <v>7</v>
      </c>
      <c r="AH770" s="145"/>
    </row>
    <row r="771" spans="26:34" x14ac:dyDescent="0.15">
      <c r="AC771" s="159">
        <v>32148</v>
      </c>
      <c r="AD771" s="161">
        <v>4</v>
      </c>
      <c r="AE771" s="161">
        <v>4</v>
      </c>
      <c r="AF771" s="161">
        <v>50</v>
      </c>
      <c r="AG771" s="161">
        <v>6</v>
      </c>
      <c r="AH771" s="145"/>
    </row>
    <row r="772" spans="26:34" x14ac:dyDescent="0.15">
      <c r="AC772" s="159">
        <v>32177</v>
      </c>
      <c r="AD772" s="161">
        <v>5</v>
      </c>
      <c r="AE772" s="161">
        <v>3</v>
      </c>
      <c r="AF772" s="161">
        <v>51</v>
      </c>
      <c r="AG772" s="161">
        <v>5</v>
      </c>
      <c r="AH772" s="145"/>
    </row>
    <row r="773" spans="26:34" x14ac:dyDescent="0.15">
      <c r="AC773" s="159">
        <v>32207</v>
      </c>
      <c r="AD773" s="161">
        <v>5</v>
      </c>
      <c r="AE773" s="161">
        <v>3</v>
      </c>
      <c r="AF773" s="161">
        <v>52</v>
      </c>
      <c r="AG773" s="161">
        <v>4</v>
      </c>
      <c r="AH773" s="145"/>
    </row>
    <row r="774" spans="26:34" x14ac:dyDescent="0.15">
      <c r="AC774" s="159">
        <v>32237</v>
      </c>
      <c r="AD774" s="161">
        <v>5</v>
      </c>
      <c r="AE774" s="161">
        <v>3</v>
      </c>
      <c r="AF774" s="161">
        <v>53</v>
      </c>
      <c r="AG774" s="161">
        <v>3</v>
      </c>
      <c r="AH774" s="145"/>
    </row>
    <row r="775" spans="26:34" x14ac:dyDescent="0.15">
      <c r="AC775" s="159">
        <v>32268</v>
      </c>
      <c r="AD775" s="161">
        <v>5</v>
      </c>
      <c r="AE775" s="161">
        <v>3</v>
      </c>
      <c r="AF775" s="161">
        <v>54</v>
      </c>
      <c r="AG775" s="161">
        <v>2</v>
      </c>
      <c r="AH775" s="145"/>
    </row>
    <row r="776" spans="26:34" x14ac:dyDescent="0.15">
      <c r="AC776" s="159">
        <v>32299</v>
      </c>
      <c r="AD776" s="161">
        <v>5</v>
      </c>
      <c r="AE776" s="161">
        <v>3</v>
      </c>
      <c r="AF776" s="161">
        <v>55</v>
      </c>
      <c r="AG776" s="161">
        <v>1</v>
      </c>
      <c r="AH776" s="145"/>
    </row>
    <row r="777" spans="26:34" x14ac:dyDescent="0.15">
      <c r="AC777" s="159">
        <v>32331</v>
      </c>
      <c r="AD777" s="161">
        <v>5</v>
      </c>
      <c r="AE777" s="161">
        <v>3</v>
      </c>
      <c r="AF777" s="161">
        <v>56</v>
      </c>
      <c r="AG777" s="161">
        <v>9</v>
      </c>
      <c r="AH777" s="145"/>
    </row>
    <row r="778" spans="26:34" x14ac:dyDescent="0.15">
      <c r="AC778" s="159">
        <v>32362</v>
      </c>
      <c r="AD778" s="161">
        <v>5</v>
      </c>
      <c r="AE778" s="161">
        <v>3</v>
      </c>
      <c r="AF778" s="161">
        <v>57</v>
      </c>
      <c r="AG778" s="161">
        <v>8</v>
      </c>
      <c r="AH778" s="145"/>
    </row>
    <row r="779" spans="26:34" x14ac:dyDescent="0.15">
      <c r="AC779" s="159">
        <v>32393</v>
      </c>
      <c r="AD779" s="161">
        <v>5</v>
      </c>
      <c r="AE779" s="161">
        <v>3</v>
      </c>
      <c r="AF779" s="161">
        <v>58</v>
      </c>
      <c r="AG779" s="161">
        <v>7</v>
      </c>
      <c r="AH779" s="145"/>
    </row>
    <row r="780" spans="26:34" x14ac:dyDescent="0.15">
      <c r="AC780" s="159">
        <v>32424</v>
      </c>
      <c r="AD780" s="161">
        <v>5</v>
      </c>
      <c r="AE780" s="161">
        <v>3</v>
      </c>
      <c r="AF780" s="161">
        <v>59</v>
      </c>
      <c r="AG780" s="161">
        <v>6</v>
      </c>
      <c r="AH780" s="145"/>
    </row>
    <row r="781" spans="26:34" x14ac:dyDescent="0.15">
      <c r="AC781" s="159">
        <v>32454</v>
      </c>
      <c r="AD781" s="161">
        <v>5</v>
      </c>
      <c r="AE781" s="161">
        <v>3</v>
      </c>
      <c r="AF781" s="161">
        <v>60</v>
      </c>
      <c r="AG781" s="161">
        <v>5</v>
      </c>
      <c r="AH781" s="145"/>
    </row>
    <row r="782" spans="26:34" x14ac:dyDescent="0.15">
      <c r="AC782" s="159">
        <v>32484</v>
      </c>
      <c r="AD782" s="161">
        <v>5</v>
      </c>
      <c r="AE782" s="161">
        <v>3</v>
      </c>
      <c r="AF782" s="161">
        <v>1</v>
      </c>
      <c r="AG782" s="161">
        <v>4</v>
      </c>
      <c r="AH782" s="145"/>
    </row>
    <row r="783" spans="26:34" x14ac:dyDescent="0.15">
      <c r="AC783" s="159">
        <v>32513</v>
      </c>
      <c r="AD783" s="161">
        <v>5</v>
      </c>
      <c r="AE783" s="161">
        <v>3</v>
      </c>
      <c r="AF783" s="161">
        <v>2</v>
      </c>
      <c r="AG783" s="161">
        <v>3</v>
      </c>
      <c r="AH783" s="145"/>
    </row>
    <row r="784" spans="26:34" x14ac:dyDescent="0.15">
      <c r="AC784" s="159">
        <v>32543</v>
      </c>
      <c r="AD784" s="161">
        <v>6</v>
      </c>
      <c r="AE784" s="161">
        <v>2</v>
      </c>
      <c r="AF784" s="161">
        <v>3</v>
      </c>
      <c r="AG784" s="161">
        <v>2</v>
      </c>
      <c r="AH784" s="145"/>
    </row>
    <row r="785" spans="28:34" x14ac:dyDescent="0.15">
      <c r="AC785" s="159">
        <v>32572</v>
      </c>
      <c r="AD785" s="161">
        <v>6</v>
      </c>
      <c r="AE785" s="161">
        <v>2</v>
      </c>
      <c r="AF785" s="161">
        <v>4</v>
      </c>
      <c r="AG785" s="161">
        <v>1</v>
      </c>
      <c r="AH785" s="145"/>
    </row>
    <row r="786" spans="28:34" x14ac:dyDescent="0.15">
      <c r="AC786" s="159">
        <v>32603</v>
      </c>
      <c r="AD786" s="161">
        <v>6</v>
      </c>
      <c r="AE786" s="161">
        <v>2</v>
      </c>
      <c r="AF786" s="161">
        <v>5</v>
      </c>
      <c r="AG786" s="161">
        <v>9</v>
      </c>
      <c r="AH786" s="145"/>
    </row>
    <row r="787" spans="28:34" x14ac:dyDescent="0.15">
      <c r="AC787" s="159">
        <v>32633</v>
      </c>
      <c r="AD787" s="161">
        <v>6</v>
      </c>
      <c r="AE787" s="161">
        <v>2</v>
      </c>
      <c r="AF787" s="161">
        <v>6</v>
      </c>
      <c r="AG787" s="161">
        <v>8</v>
      </c>
      <c r="AH787" s="145"/>
    </row>
    <row r="788" spans="28:34" x14ac:dyDescent="0.15">
      <c r="AC788" s="159">
        <v>32665</v>
      </c>
      <c r="AD788" s="161">
        <v>6</v>
      </c>
      <c r="AE788" s="161">
        <v>2</v>
      </c>
      <c r="AF788" s="161">
        <v>7</v>
      </c>
      <c r="AG788" s="161">
        <v>7</v>
      </c>
      <c r="AH788" s="145"/>
    </row>
    <row r="789" spans="28:34" x14ac:dyDescent="0.15">
      <c r="AC789" s="159">
        <v>32696</v>
      </c>
      <c r="AD789" s="161">
        <v>6</v>
      </c>
      <c r="AE789" s="161">
        <v>2</v>
      </c>
      <c r="AF789" s="161">
        <v>8</v>
      </c>
      <c r="AG789" s="161">
        <v>6</v>
      </c>
      <c r="AH789" s="145"/>
    </row>
    <row r="790" spans="28:34" x14ac:dyDescent="0.15">
      <c r="AC790" s="159">
        <v>32727</v>
      </c>
      <c r="AD790" s="161">
        <v>6</v>
      </c>
      <c r="AE790" s="161">
        <v>2</v>
      </c>
      <c r="AF790" s="161">
        <v>9</v>
      </c>
      <c r="AG790" s="161">
        <v>5</v>
      </c>
      <c r="AH790" s="145"/>
    </row>
    <row r="791" spans="28:34" x14ac:dyDescent="0.15">
      <c r="AC791" s="159">
        <v>32759</v>
      </c>
      <c r="AD791" s="161">
        <v>6</v>
      </c>
      <c r="AE791" s="161">
        <v>2</v>
      </c>
      <c r="AF791" s="161">
        <v>10</v>
      </c>
      <c r="AG791" s="161">
        <v>4</v>
      </c>
      <c r="AH791" s="145"/>
    </row>
    <row r="792" spans="28:34" x14ac:dyDescent="0.15">
      <c r="AC792" s="159">
        <v>32789</v>
      </c>
      <c r="AD792" s="161">
        <v>6</v>
      </c>
      <c r="AE792" s="161">
        <v>2</v>
      </c>
      <c r="AF792" s="161">
        <v>11</v>
      </c>
      <c r="AG792" s="161">
        <v>3</v>
      </c>
      <c r="AH792" s="145"/>
    </row>
    <row r="793" spans="28:34" x14ac:dyDescent="0.15">
      <c r="AC793" s="159">
        <v>32819</v>
      </c>
      <c r="AD793" s="161">
        <v>6</v>
      </c>
      <c r="AE793" s="161">
        <v>2</v>
      </c>
      <c r="AF793" s="161">
        <v>12</v>
      </c>
      <c r="AG793" s="161">
        <v>2</v>
      </c>
      <c r="AH793" s="145"/>
    </row>
    <row r="794" spans="28:34" x14ac:dyDescent="0.15">
      <c r="AC794" s="159">
        <v>32849</v>
      </c>
      <c r="AD794" s="161">
        <v>6</v>
      </c>
      <c r="AE794" s="161">
        <v>2</v>
      </c>
      <c r="AF794" s="161">
        <v>13</v>
      </c>
      <c r="AG794" s="161">
        <v>1</v>
      </c>
      <c r="AH794" s="145"/>
    </row>
    <row r="795" spans="28:34" x14ac:dyDescent="0.15">
      <c r="AC795" s="159">
        <v>32878</v>
      </c>
      <c r="AD795" s="161">
        <v>6</v>
      </c>
      <c r="AE795" s="161">
        <v>2</v>
      </c>
      <c r="AF795" s="161">
        <v>14</v>
      </c>
      <c r="AG795" s="161">
        <v>9</v>
      </c>
      <c r="AH795" s="145"/>
    </row>
    <row r="796" spans="28:34" x14ac:dyDescent="0.15">
      <c r="AC796" s="159">
        <v>32908</v>
      </c>
      <c r="AD796" s="161">
        <v>7</v>
      </c>
      <c r="AE796" s="161">
        <v>1</v>
      </c>
      <c r="AF796" s="161">
        <v>15</v>
      </c>
      <c r="AG796" s="161">
        <v>8</v>
      </c>
      <c r="AH796" s="145"/>
    </row>
    <row r="797" spans="28:34" x14ac:dyDescent="0.15">
      <c r="AC797" s="159">
        <v>32938</v>
      </c>
      <c r="AD797" s="161">
        <v>7</v>
      </c>
      <c r="AE797" s="161">
        <v>1</v>
      </c>
      <c r="AF797" s="161">
        <v>16</v>
      </c>
      <c r="AG797" s="161">
        <v>7</v>
      </c>
      <c r="AH797" s="145"/>
    </row>
    <row r="798" spans="28:34" x14ac:dyDescent="0.15">
      <c r="AB798">
        <v>2</v>
      </c>
      <c r="AC798" s="159">
        <v>32968</v>
      </c>
      <c r="AD798" s="161">
        <v>7</v>
      </c>
      <c r="AE798" s="161">
        <v>1</v>
      </c>
      <c r="AF798" s="161">
        <v>17</v>
      </c>
      <c r="AG798" s="161">
        <v>6</v>
      </c>
      <c r="AH798" s="145"/>
    </row>
    <row r="799" spans="28:34" x14ac:dyDescent="0.15">
      <c r="AB799">
        <v>3</v>
      </c>
      <c r="AC799" s="159">
        <v>32999</v>
      </c>
      <c r="AD799" s="161">
        <v>7</v>
      </c>
      <c r="AE799" s="161">
        <v>1</v>
      </c>
      <c r="AF799" s="161">
        <v>18</v>
      </c>
      <c r="AG799" s="161">
        <v>5</v>
      </c>
      <c r="AH799" s="145"/>
    </row>
    <row r="800" spans="28:34" x14ac:dyDescent="0.15">
      <c r="AC800" s="159">
        <v>33030</v>
      </c>
      <c r="AD800" s="161">
        <v>7</v>
      </c>
      <c r="AE800" s="161">
        <v>1</v>
      </c>
      <c r="AF800" s="161">
        <v>19</v>
      </c>
      <c r="AG800" s="161">
        <v>4</v>
      </c>
      <c r="AH800" s="145"/>
    </row>
    <row r="801" spans="29:34" x14ac:dyDescent="0.15">
      <c r="AC801" s="159">
        <v>33061</v>
      </c>
      <c r="AD801" s="161">
        <v>7</v>
      </c>
      <c r="AE801" s="161">
        <v>1</v>
      </c>
      <c r="AF801" s="161">
        <v>20</v>
      </c>
      <c r="AG801" s="161">
        <v>3</v>
      </c>
      <c r="AH801" s="145"/>
    </row>
    <row r="802" spans="29:34" x14ac:dyDescent="0.15">
      <c r="AC802" s="159">
        <v>33093</v>
      </c>
      <c r="AD802" s="161">
        <v>7</v>
      </c>
      <c r="AE802" s="161">
        <v>1</v>
      </c>
      <c r="AF802" s="161">
        <v>21</v>
      </c>
      <c r="AG802" s="161">
        <v>2</v>
      </c>
      <c r="AH802" s="145"/>
    </row>
    <row r="803" spans="29:34" x14ac:dyDescent="0.15">
      <c r="AC803" s="159">
        <v>33124</v>
      </c>
      <c r="AD803" s="161">
        <v>7</v>
      </c>
      <c r="AE803" s="161">
        <v>1</v>
      </c>
      <c r="AF803" s="161">
        <v>22</v>
      </c>
      <c r="AG803" s="161">
        <v>1</v>
      </c>
      <c r="AH803" s="145"/>
    </row>
    <row r="804" spans="29:34" x14ac:dyDescent="0.15">
      <c r="AC804" s="159">
        <v>33154</v>
      </c>
      <c r="AD804" s="161">
        <v>7</v>
      </c>
      <c r="AE804" s="161">
        <v>1</v>
      </c>
      <c r="AF804" s="161">
        <v>23</v>
      </c>
      <c r="AG804" s="161">
        <v>9</v>
      </c>
      <c r="AH804" s="145"/>
    </row>
    <row r="805" spans="29:34" x14ac:dyDescent="0.15">
      <c r="AC805" s="159">
        <v>33185</v>
      </c>
      <c r="AD805" s="161">
        <v>7</v>
      </c>
      <c r="AE805" s="161">
        <v>1</v>
      </c>
      <c r="AF805" s="161">
        <v>24</v>
      </c>
      <c r="AG805" s="161">
        <v>8</v>
      </c>
      <c r="AH805" s="145"/>
    </row>
    <row r="806" spans="29:34" x14ac:dyDescent="0.15">
      <c r="AC806" s="159">
        <v>33214</v>
      </c>
      <c r="AD806" s="161">
        <v>7</v>
      </c>
      <c r="AE806" s="161">
        <v>1</v>
      </c>
      <c r="AF806" s="161">
        <v>25</v>
      </c>
      <c r="AG806" s="161">
        <v>7</v>
      </c>
      <c r="AH806" s="145"/>
    </row>
    <row r="807" spans="29:34" x14ac:dyDescent="0.15">
      <c r="AC807" s="159">
        <v>33244</v>
      </c>
      <c r="AD807" s="161">
        <v>7</v>
      </c>
      <c r="AE807" s="161">
        <v>1</v>
      </c>
      <c r="AF807" s="161">
        <v>26</v>
      </c>
      <c r="AG807" s="161">
        <v>6</v>
      </c>
      <c r="AH807" s="145"/>
    </row>
    <row r="808" spans="29:34" x14ac:dyDescent="0.15">
      <c r="AC808" s="159">
        <v>33273</v>
      </c>
      <c r="AD808" s="161">
        <v>8</v>
      </c>
      <c r="AE808" s="161">
        <v>9</v>
      </c>
      <c r="AF808" s="161">
        <v>27</v>
      </c>
      <c r="AG808" s="161">
        <v>5</v>
      </c>
      <c r="AH808" s="145"/>
    </row>
    <row r="809" spans="29:34" x14ac:dyDescent="0.15">
      <c r="AC809" s="159">
        <v>33303</v>
      </c>
      <c r="AD809" s="161">
        <v>8</v>
      </c>
      <c r="AE809" s="161">
        <v>9</v>
      </c>
      <c r="AF809" s="161">
        <v>28</v>
      </c>
      <c r="AG809" s="161">
        <v>4</v>
      </c>
      <c r="AH809" s="145"/>
    </row>
    <row r="810" spans="29:34" x14ac:dyDescent="0.15">
      <c r="AC810" s="159">
        <v>33333</v>
      </c>
      <c r="AD810" s="161">
        <v>8</v>
      </c>
      <c r="AE810" s="161">
        <v>9</v>
      </c>
      <c r="AF810" s="161">
        <v>29</v>
      </c>
      <c r="AG810" s="161">
        <v>3</v>
      </c>
      <c r="AH810" s="145"/>
    </row>
    <row r="811" spans="29:34" x14ac:dyDescent="0.15">
      <c r="AC811" s="159">
        <v>33364</v>
      </c>
      <c r="AD811" s="161">
        <v>8</v>
      </c>
      <c r="AE811" s="161">
        <v>9</v>
      </c>
      <c r="AF811" s="161">
        <v>30</v>
      </c>
      <c r="AG811" s="161">
        <v>2</v>
      </c>
      <c r="AH811" s="145"/>
    </row>
    <row r="812" spans="29:34" x14ac:dyDescent="0.15">
      <c r="AC812" s="159">
        <v>33395</v>
      </c>
      <c r="AD812" s="161">
        <v>8</v>
      </c>
      <c r="AE812" s="161">
        <v>9</v>
      </c>
      <c r="AF812" s="161">
        <v>31</v>
      </c>
      <c r="AG812" s="161">
        <v>1</v>
      </c>
      <c r="AH812" s="145"/>
    </row>
    <row r="813" spans="29:34" x14ac:dyDescent="0.15">
      <c r="AC813" s="159">
        <v>33426</v>
      </c>
      <c r="AD813" s="161">
        <v>8</v>
      </c>
      <c r="AE813" s="161">
        <v>9</v>
      </c>
      <c r="AF813" s="161">
        <v>32</v>
      </c>
      <c r="AG813" s="161">
        <v>9</v>
      </c>
      <c r="AH813" s="145"/>
    </row>
    <row r="814" spans="29:34" x14ac:dyDescent="0.15">
      <c r="AC814" s="159">
        <v>33458</v>
      </c>
      <c r="AD814" s="161">
        <v>8</v>
      </c>
      <c r="AE814" s="161">
        <v>9</v>
      </c>
      <c r="AF814" s="161">
        <v>33</v>
      </c>
      <c r="AG814" s="161">
        <v>8</v>
      </c>
      <c r="AH814" s="145"/>
    </row>
    <row r="815" spans="29:34" x14ac:dyDescent="0.15">
      <c r="AC815" s="159">
        <v>33489</v>
      </c>
      <c r="AD815" s="161">
        <v>8</v>
      </c>
      <c r="AE815" s="161">
        <v>9</v>
      </c>
      <c r="AF815" s="161">
        <v>34</v>
      </c>
      <c r="AG815" s="161">
        <v>7</v>
      </c>
      <c r="AH815" s="145"/>
    </row>
    <row r="816" spans="29:34" x14ac:dyDescent="0.15">
      <c r="AC816" s="159">
        <v>33520</v>
      </c>
      <c r="AD816" s="161">
        <v>8</v>
      </c>
      <c r="AE816" s="161">
        <v>9</v>
      </c>
      <c r="AF816" s="161">
        <v>35</v>
      </c>
      <c r="AG816" s="161">
        <v>6</v>
      </c>
      <c r="AH816" s="145"/>
    </row>
    <row r="817" spans="28:34" x14ac:dyDescent="0.15">
      <c r="AC817" s="159">
        <v>33550</v>
      </c>
      <c r="AD817" s="161">
        <v>8</v>
      </c>
      <c r="AE817" s="161">
        <v>9</v>
      </c>
      <c r="AF817" s="161">
        <v>36</v>
      </c>
      <c r="AG817" s="161">
        <v>5</v>
      </c>
      <c r="AH817" s="145"/>
    </row>
    <row r="818" spans="28:34" x14ac:dyDescent="0.15">
      <c r="AC818" s="159">
        <v>33579</v>
      </c>
      <c r="AD818" s="161">
        <v>8</v>
      </c>
      <c r="AE818" s="161">
        <v>9</v>
      </c>
      <c r="AF818" s="161">
        <v>37</v>
      </c>
      <c r="AG818" s="161">
        <v>4</v>
      </c>
      <c r="AH818" s="145"/>
    </row>
    <row r="819" spans="28:34" x14ac:dyDescent="0.15">
      <c r="AC819" s="159">
        <v>33609</v>
      </c>
      <c r="AD819" s="161">
        <v>8</v>
      </c>
      <c r="AE819" s="161">
        <v>9</v>
      </c>
      <c r="AF819" s="161">
        <v>38</v>
      </c>
      <c r="AG819" s="161">
        <v>3</v>
      </c>
      <c r="AH819" s="145"/>
    </row>
    <row r="820" spans="28:34" x14ac:dyDescent="0.15">
      <c r="AC820" s="159">
        <v>33638</v>
      </c>
      <c r="AD820" s="161">
        <v>9</v>
      </c>
      <c r="AE820" s="161">
        <v>8</v>
      </c>
      <c r="AF820" s="161">
        <v>39</v>
      </c>
      <c r="AG820" s="161">
        <v>2</v>
      </c>
      <c r="AH820" s="145"/>
    </row>
    <row r="821" spans="28:34" x14ac:dyDescent="0.15">
      <c r="AC821" s="159">
        <v>33668</v>
      </c>
      <c r="AD821" s="161">
        <v>9</v>
      </c>
      <c r="AE821" s="161">
        <v>8</v>
      </c>
      <c r="AF821" s="161">
        <v>40</v>
      </c>
      <c r="AG821" s="161">
        <v>1</v>
      </c>
      <c r="AH821" s="145"/>
    </row>
    <row r="822" spans="28:34" x14ac:dyDescent="0.15">
      <c r="AC822" s="159">
        <v>33698</v>
      </c>
      <c r="AD822" s="161">
        <v>9</v>
      </c>
      <c r="AE822" s="161">
        <v>8</v>
      </c>
      <c r="AF822" s="161">
        <v>41</v>
      </c>
      <c r="AG822" s="161">
        <v>9</v>
      </c>
      <c r="AH822" s="145"/>
    </row>
    <row r="823" spans="28:34" x14ac:dyDescent="0.15">
      <c r="AC823" s="159">
        <v>33729</v>
      </c>
      <c r="AD823" s="161">
        <v>9</v>
      </c>
      <c r="AE823" s="161">
        <v>8</v>
      </c>
      <c r="AF823" s="161">
        <v>42</v>
      </c>
      <c r="AG823" s="161">
        <v>8</v>
      </c>
      <c r="AH823" s="145"/>
    </row>
    <row r="824" spans="28:34" x14ac:dyDescent="0.15">
      <c r="AC824" s="159">
        <v>33760</v>
      </c>
      <c r="AD824" s="161">
        <v>9</v>
      </c>
      <c r="AE824" s="161">
        <v>8</v>
      </c>
      <c r="AF824" s="161">
        <v>43</v>
      </c>
      <c r="AG824" s="161">
        <v>7</v>
      </c>
      <c r="AH824" s="145"/>
    </row>
    <row r="825" spans="28:34" x14ac:dyDescent="0.15">
      <c r="AC825" s="159">
        <v>33792</v>
      </c>
      <c r="AD825" s="161">
        <v>9</v>
      </c>
      <c r="AE825" s="161">
        <v>8</v>
      </c>
      <c r="AF825" s="161">
        <v>44</v>
      </c>
      <c r="AG825" s="161">
        <v>6</v>
      </c>
      <c r="AH825" s="145"/>
    </row>
    <row r="826" spans="28:34" x14ac:dyDescent="0.15">
      <c r="AC826" s="159">
        <v>33823</v>
      </c>
      <c r="AD826" s="161">
        <v>9</v>
      </c>
      <c r="AE826" s="161">
        <v>8</v>
      </c>
      <c r="AF826" s="161">
        <v>45</v>
      </c>
      <c r="AG826" s="161">
        <v>5</v>
      </c>
      <c r="AH826" s="145"/>
    </row>
    <row r="827" spans="28:34" x14ac:dyDescent="0.15">
      <c r="AC827" s="159">
        <v>33854</v>
      </c>
      <c r="AD827" s="161">
        <v>9</v>
      </c>
      <c r="AE827" s="161">
        <v>8</v>
      </c>
      <c r="AF827" s="161">
        <v>46</v>
      </c>
      <c r="AG827" s="161">
        <v>4</v>
      </c>
      <c r="AH827" s="145"/>
    </row>
    <row r="828" spans="28:34" x14ac:dyDescent="0.15">
      <c r="AB828">
        <v>3</v>
      </c>
      <c r="AC828" s="159">
        <v>33885</v>
      </c>
      <c r="AD828" s="161">
        <v>9</v>
      </c>
      <c r="AE828" s="161">
        <v>8</v>
      </c>
      <c r="AF828" s="161">
        <v>47</v>
      </c>
      <c r="AG828" s="161">
        <v>3</v>
      </c>
      <c r="AH828" s="145"/>
    </row>
    <row r="829" spans="28:34" x14ac:dyDescent="0.15">
      <c r="AB829">
        <v>4</v>
      </c>
      <c r="AC829" s="159">
        <v>33915</v>
      </c>
      <c r="AD829" s="161">
        <v>9</v>
      </c>
      <c r="AE829" s="161">
        <v>8</v>
      </c>
      <c r="AF829" s="161">
        <v>48</v>
      </c>
      <c r="AG829" s="161">
        <v>2</v>
      </c>
      <c r="AH829" s="145"/>
    </row>
    <row r="830" spans="28:34" x14ac:dyDescent="0.15">
      <c r="AC830" s="159">
        <v>33945</v>
      </c>
      <c r="AD830" s="161">
        <v>9</v>
      </c>
      <c r="AE830" s="161">
        <v>8</v>
      </c>
      <c r="AF830" s="161">
        <v>49</v>
      </c>
      <c r="AG830" s="161">
        <v>1</v>
      </c>
      <c r="AH830" s="145"/>
    </row>
    <row r="831" spans="28:34" x14ac:dyDescent="0.15">
      <c r="AC831" s="159">
        <v>33974</v>
      </c>
      <c r="AD831" s="161">
        <v>9</v>
      </c>
      <c r="AE831" s="161">
        <v>8</v>
      </c>
      <c r="AF831" s="161">
        <v>50</v>
      </c>
      <c r="AG831" s="161">
        <v>9</v>
      </c>
      <c r="AH831" s="145"/>
    </row>
    <row r="832" spans="28:34" x14ac:dyDescent="0.15">
      <c r="AC832" s="159">
        <v>34004</v>
      </c>
      <c r="AD832" s="161">
        <v>10</v>
      </c>
      <c r="AE832" s="161">
        <v>7</v>
      </c>
      <c r="AF832" s="161">
        <v>51</v>
      </c>
      <c r="AG832" s="161">
        <v>8</v>
      </c>
      <c r="AH832" s="145"/>
    </row>
    <row r="833" spans="29:34" x14ac:dyDescent="0.15">
      <c r="AC833" s="159">
        <v>34033</v>
      </c>
      <c r="AD833" s="161">
        <v>10</v>
      </c>
      <c r="AE833" s="161">
        <v>7</v>
      </c>
      <c r="AF833" s="161">
        <v>52</v>
      </c>
      <c r="AG833" s="161">
        <v>7</v>
      </c>
      <c r="AH833" s="145"/>
    </row>
    <row r="834" spans="29:34" x14ac:dyDescent="0.15">
      <c r="AC834" s="159">
        <v>34064</v>
      </c>
      <c r="AD834" s="161">
        <v>10</v>
      </c>
      <c r="AE834" s="161">
        <v>7</v>
      </c>
      <c r="AF834" s="161">
        <v>53</v>
      </c>
      <c r="AG834" s="161">
        <v>6</v>
      </c>
      <c r="AH834" s="145"/>
    </row>
    <row r="835" spans="29:34" x14ac:dyDescent="0.15">
      <c r="AC835" s="159">
        <v>34094</v>
      </c>
      <c r="AD835" s="161">
        <v>10</v>
      </c>
      <c r="AE835" s="161">
        <v>7</v>
      </c>
      <c r="AF835" s="161">
        <v>54</v>
      </c>
      <c r="AG835" s="161">
        <v>5</v>
      </c>
      <c r="AH835" s="145"/>
    </row>
    <row r="836" spans="29:34" x14ac:dyDescent="0.15">
      <c r="AC836" s="159">
        <v>34126</v>
      </c>
      <c r="AD836" s="161">
        <v>10</v>
      </c>
      <c r="AE836" s="161">
        <v>7</v>
      </c>
      <c r="AF836" s="161">
        <v>55</v>
      </c>
      <c r="AG836" s="161">
        <v>4</v>
      </c>
      <c r="AH836" s="145"/>
    </row>
    <row r="837" spans="29:34" x14ac:dyDescent="0.15">
      <c r="AC837" s="159">
        <v>34157</v>
      </c>
      <c r="AD837" s="161">
        <v>10</v>
      </c>
      <c r="AE837" s="161">
        <v>7</v>
      </c>
      <c r="AF837" s="161">
        <v>56</v>
      </c>
      <c r="AG837" s="161">
        <v>3</v>
      </c>
      <c r="AH837" s="145"/>
    </row>
    <row r="838" spans="29:34" x14ac:dyDescent="0.15">
      <c r="AC838" s="159">
        <v>34188</v>
      </c>
      <c r="AD838" s="161">
        <v>10</v>
      </c>
      <c r="AE838" s="161">
        <v>7</v>
      </c>
      <c r="AF838" s="161">
        <v>57</v>
      </c>
      <c r="AG838" s="161">
        <v>2</v>
      </c>
      <c r="AH838" s="145"/>
    </row>
    <row r="839" spans="29:34" x14ac:dyDescent="0.15">
      <c r="AC839" s="159">
        <v>34220</v>
      </c>
      <c r="AD839" s="161">
        <v>10</v>
      </c>
      <c r="AE839" s="161">
        <v>7</v>
      </c>
      <c r="AF839" s="161">
        <v>58</v>
      </c>
      <c r="AG839" s="161">
        <v>1</v>
      </c>
      <c r="AH839" s="145"/>
    </row>
    <row r="840" spans="29:34" x14ac:dyDescent="0.15">
      <c r="AC840" s="159">
        <v>34250</v>
      </c>
      <c r="AD840" s="161">
        <v>10</v>
      </c>
      <c r="AE840" s="161">
        <v>7</v>
      </c>
      <c r="AF840" s="161">
        <v>59</v>
      </c>
      <c r="AG840" s="161">
        <v>9</v>
      </c>
      <c r="AH840" s="145"/>
    </row>
    <row r="841" spans="29:34" x14ac:dyDescent="0.15">
      <c r="AC841" s="159">
        <v>34280</v>
      </c>
      <c r="AD841" s="161">
        <v>10</v>
      </c>
      <c r="AE841" s="161">
        <v>7</v>
      </c>
      <c r="AF841" s="161">
        <v>60</v>
      </c>
      <c r="AG841" s="161">
        <v>8</v>
      </c>
      <c r="AH841" s="145"/>
    </row>
    <row r="842" spans="29:34" x14ac:dyDescent="0.15">
      <c r="AC842" s="159">
        <v>34310</v>
      </c>
      <c r="AD842" s="161">
        <v>10</v>
      </c>
      <c r="AE842" s="161">
        <v>7</v>
      </c>
      <c r="AF842" s="161">
        <v>1</v>
      </c>
      <c r="AG842" s="161">
        <v>7</v>
      </c>
      <c r="AH842" s="145"/>
    </row>
    <row r="843" spans="29:34" x14ac:dyDescent="0.15">
      <c r="AC843" s="159">
        <v>34339</v>
      </c>
      <c r="AD843" s="161">
        <v>10</v>
      </c>
      <c r="AE843" s="161">
        <v>7</v>
      </c>
      <c r="AF843" s="161">
        <v>2</v>
      </c>
      <c r="AG843" s="161">
        <v>6</v>
      </c>
      <c r="AH843" s="145"/>
    </row>
    <row r="844" spans="29:34" x14ac:dyDescent="0.15">
      <c r="AC844" s="159">
        <v>34369</v>
      </c>
      <c r="AD844" s="161">
        <v>11</v>
      </c>
      <c r="AE844" s="161">
        <v>6</v>
      </c>
      <c r="AF844" s="161">
        <v>3</v>
      </c>
      <c r="AG844" s="161">
        <v>5</v>
      </c>
      <c r="AH844" s="145"/>
    </row>
    <row r="845" spans="29:34" x14ac:dyDescent="0.15">
      <c r="AC845" s="159">
        <v>34399</v>
      </c>
      <c r="AD845" s="161">
        <v>11</v>
      </c>
      <c r="AE845" s="161">
        <v>6</v>
      </c>
      <c r="AF845" s="161">
        <v>4</v>
      </c>
      <c r="AG845" s="161">
        <v>4</v>
      </c>
      <c r="AH845" s="145"/>
    </row>
    <row r="846" spans="29:34" x14ac:dyDescent="0.15">
      <c r="AC846" s="159">
        <v>34429</v>
      </c>
      <c r="AD846" s="161">
        <v>11</v>
      </c>
      <c r="AE846" s="161">
        <v>6</v>
      </c>
      <c r="AF846" s="161">
        <v>5</v>
      </c>
      <c r="AG846" s="161">
        <v>3</v>
      </c>
      <c r="AH846" s="145"/>
    </row>
    <row r="847" spans="29:34" x14ac:dyDescent="0.15">
      <c r="AC847" s="159">
        <v>34460</v>
      </c>
      <c r="AD847" s="161">
        <v>11</v>
      </c>
      <c r="AE847" s="161">
        <v>6</v>
      </c>
      <c r="AF847" s="161">
        <v>6</v>
      </c>
      <c r="AG847" s="161">
        <v>2</v>
      </c>
      <c r="AH847" s="145"/>
    </row>
    <row r="848" spans="29:34" x14ac:dyDescent="0.15">
      <c r="AC848" s="159">
        <v>34491</v>
      </c>
      <c r="AD848" s="161">
        <v>11</v>
      </c>
      <c r="AE848" s="161">
        <v>6</v>
      </c>
      <c r="AF848" s="161">
        <v>7</v>
      </c>
      <c r="AG848" s="161">
        <v>1</v>
      </c>
      <c r="AH848" s="145"/>
    </row>
    <row r="849" spans="28:34" x14ac:dyDescent="0.15">
      <c r="AC849" s="159">
        <v>34522</v>
      </c>
      <c r="AD849" s="161">
        <v>11</v>
      </c>
      <c r="AE849" s="161">
        <v>6</v>
      </c>
      <c r="AF849" s="161">
        <v>8</v>
      </c>
      <c r="AG849" s="161">
        <v>9</v>
      </c>
      <c r="AH849" s="145"/>
    </row>
    <row r="850" spans="28:34" x14ac:dyDescent="0.15">
      <c r="AC850" s="159">
        <v>34554</v>
      </c>
      <c r="AD850" s="161">
        <v>11</v>
      </c>
      <c r="AE850" s="161">
        <v>6</v>
      </c>
      <c r="AF850" s="161">
        <v>9</v>
      </c>
      <c r="AG850" s="161">
        <v>8</v>
      </c>
      <c r="AH850" s="145"/>
    </row>
    <row r="851" spans="28:34" x14ac:dyDescent="0.15">
      <c r="AC851" s="159">
        <v>34585</v>
      </c>
      <c r="AD851" s="161">
        <v>11</v>
      </c>
      <c r="AE851" s="161">
        <v>6</v>
      </c>
      <c r="AF851" s="161">
        <v>10</v>
      </c>
      <c r="AG851" s="161">
        <v>7</v>
      </c>
      <c r="AH851" s="145"/>
    </row>
    <row r="852" spans="28:34" x14ac:dyDescent="0.15">
      <c r="AC852" s="159">
        <v>34615</v>
      </c>
      <c r="AD852" s="161">
        <v>11</v>
      </c>
      <c r="AE852" s="161">
        <v>6</v>
      </c>
      <c r="AF852" s="161">
        <v>11</v>
      </c>
      <c r="AG852" s="161">
        <v>6</v>
      </c>
      <c r="AH852" s="145"/>
    </row>
    <row r="853" spans="28:34" x14ac:dyDescent="0.15">
      <c r="AC853" s="159">
        <v>34646</v>
      </c>
      <c r="AD853" s="161">
        <v>11</v>
      </c>
      <c r="AE853" s="161">
        <v>6</v>
      </c>
      <c r="AF853" s="161">
        <v>12</v>
      </c>
      <c r="AG853" s="161">
        <v>5</v>
      </c>
      <c r="AH853" s="145"/>
    </row>
    <row r="854" spans="28:34" x14ac:dyDescent="0.15">
      <c r="AC854" s="159">
        <v>34675</v>
      </c>
      <c r="AD854" s="161">
        <v>11</v>
      </c>
      <c r="AE854" s="161">
        <v>6</v>
      </c>
      <c r="AF854" s="161">
        <v>13</v>
      </c>
      <c r="AG854" s="161">
        <v>4</v>
      </c>
      <c r="AH854" s="145"/>
    </row>
    <row r="855" spans="28:34" x14ac:dyDescent="0.15">
      <c r="AC855" s="159">
        <v>34705</v>
      </c>
      <c r="AD855" s="161">
        <v>11</v>
      </c>
      <c r="AE855" s="161">
        <v>6</v>
      </c>
      <c r="AF855" s="161">
        <v>14</v>
      </c>
      <c r="AG855" s="161">
        <v>3</v>
      </c>
      <c r="AH855" s="145"/>
    </row>
    <row r="856" spans="28:34" x14ac:dyDescent="0.15">
      <c r="AC856" s="159">
        <v>34734</v>
      </c>
      <c r="AD856" s="161">
        <v>12</v>
      </c>
      <c r="AE856" s="161">
        <v>5</v>
      </c>
      <c r="AF856" s="161">
        <v>15</v>
      </c>
      <c r="AG856" s="161">
        <v>2</v>
      </c>
      <c r="AH856" s="145"/>
    </row>
    <row r="857" spans="28:34" x14ac:dyDescent="0.15">
      <c r="AC857" s="159">
        <v>34764</v>
      </c>
      <c r="AD857" s="161">
        <v>12</v>
      </c>
      <c r="AE857" s="161">
        <v>5</v>
      </c>
      <c r="AF857" s="161">
        <v>16</v>
      </c>
      <c r="AG857" s="161">
        <v>1</v>
      </c>
      <c r="AH857" s="145"/>
    </row>
    <row r="858" spans="28:34" x14ac:dyDescent="0.15">
      <c r="AC858" s="159">
        <v>34794</v>
      </c>
      <c r="AD858" s="161">
        <v>12</v>
      </c>
      <c r="AE858" s="161">
        <v>5</v>
      </c>
      <c r="AF858" s="161">
        <v>17</v>
      </c>
      <c r="AG858" s="161">
        <v>9</v>
      </c>
      <c r="AH858" s="145"/>
    </row>
    <row r="859" spans="28:34" x14ac:dyDescent="0.15">
      <c r="AB859">
        <v>4</v>
      </c>
      <c r="AC859" s="159">
        <v>34825</v>
      </c>
      <c r="AD859" s="161">
        <v>12</v>
      </c>
      <c r="AE859" s="161">
        <v>5</v>
      </c>
      <c r="AF859" s="161">
        <v>18</v>
      </c>
      <c r="AG859" s="161">
        <v>8</v>
      </c>
      <c r="AH859" s="145"/>
    </row>
    <row r="860" spans="28:34" x14ac:dyDescent="0.15">
      <c r="AB860">
        <v>5</v>
      </c>
      <c r="AC860" s="159">
        <v>34856</v>
      </c>
      <c r="AD860" s="161">
        <v>12</v>
      </c>
      <c r="AE860" s="161">
        <v>5</v>
      </c>
      <c r="AF860" s="161">
        <v>19</v>
      </c>
      <c r="AG860" s="161">
        <v>7</v>
      </c>
      <c r="AH860" s="145"/>
    </row>
    <row r="861" spans="28:34" x14ac:dyDescent="0.15">
      <c r="AC861" s="159">
        <v>34887</v>
      </c>
      <c r="AD861" s="161">
        <v>12</v>
      </c>
      <c r="AE861" s="161">
        <v>5</v>
      </c>
      <c r="AF861" s="161">
        <v>20</v>
      </c>
      <c r="AG861" s="161">
        <v>6</v>
      </c>
      <c r="AH861" s="145"/>
    </row>
    <row r="862" spans="28:34" x14ac:dyDescent="0.15">
      <c r="AC862" s="159">
        <v>34919</v>
      </c>
      <c r="AD862" s="161">
        <v>12</v>
      </c>
      <c r="AE862" s="161">
        <v>5</v>
      </c>
      <c r="AF862" s="161">
        <v>21</v>
      </c>
      <c r="AG862" s="161">
        <v>5</v>
      </c>
      <c r="AH862" s="145"/>
    </row>
    <row r="863" spans="28:34" x14ac:dyDescent="0.15">
      <c r="AC863" s="159">
        <v>34950</v>
      </c>
      <c r="AD863" s="161">
        <v>12</v>
      </c>
      <c r="AE863" s="161">
        <v>5</v>
      </c>
      <c r="AF863" s="161">
        <v>22</v>
      </c>
      <c r="AG863" s="161">
        <v>4</v>
      </c>
      <c r="AH863" s="145"/>
    </row>
    <row r="864" spans="28:34" x14ac:dyDescent="0.15">
      <c r="AC864" s="159">
        <v>34981</v>
      </c>
      <c r="AD864" s="161">
        <v>12</v>
      </c>
      <c r="AE864" s="161">
        <v>5</v>
      </c>
      <c r="AF864" s="161">
        <v>23</v>
      </c>
      <c r="AG864" s="161">
        <v>3</v>
      </c>
      <c r="AH864" s="145"/>
    </row>
    <row r="865" spans="29:34" x14ac:dyDescent="0.15">
      <c r="AC865" s="159">
        <v>35011</v>
      </c>
      <c r="AD865" s="161">
        <v>12</v>
      </c>
      <c r="AE865" s="161">
        <v>5</v>
      </c>
      <c r="AF865" s="161">
        <v>24</v>
      </c>
      <c r="AG865" s="161">
        <v>2</v>
      </c>
      <c r="AH865" s="145"/>
    </row>
    <row r="866" spans="29:34" x14ac:dyDescent="0.15">
      <c r="AC866" s="159">
        <v>35040</v>
      </c>
      <c r="AD866" s="161">
        <v>12</v>
      </c>
      <c r="AE866" s="161">
        <v>5</v>
      </c>
      <c r="AF866" s="161">
        <v>25</v>
      </c>
      <c r="AG866" s="161">
        <v>1</v>
      </c>
      <c r="AH866" s="145"/>
    </row>
    <row r="867" spans="29:34" x14ac:dyDescent="0.15">
      <c r="AC867" s="159">
        <v>35070</v>
      </c>
      <c r="AD867" s="161">
        <v>12</v>
      </c>
      <c r="AE867" s="161">
        <v>5</v>
      </c>
      <c r="AF867" s="161">
        <v>26</v>
      </c>
      <c r="AG867" s="161">
        <v>9</v>
      </c>
      <c r="AH867" s="145"/>
    </row>
    <row r="868" spans="29:34" x14ac:dyDescent="0.15">
      <c r="AC868" s="159">
        <v>35099</v>
      </c>
      <c r="AD868" s="161">
        <v>13</v>
      </c>
      <c r="AE868" s="161">
        <v>4</v>
      </c>
      <c r="AF868" s="161">
        <v>27</v>
      </c>
      <c r="AG868" s="161">
        <v>8</v>
      </c>
      <c r="AH868" s="145"/>
    </row>
    <row r="869" spans="29:34" x14ac:dyDescent="0.15">
      <c r="AC869" s="159">
        <v>35129</v>
      </c>
      <c r="AD869" s="161">
        <v>13</v>
      </c>
      <c r="AE869" s="161">
        <v>4</v>
      </c>
      <c r="AF869" s="161">
        <v>28</v>
      </c>
      <c r="AG869" s="161">
        <v>7</v>
      </c>
      <c r="AH869" s="145"/>
    </row>
    <row r="870" spans="29:34" x14ac:dyDescent="0.15">
      <c r="AC870" s="159">
        <v>35159</v>
      </c>
      <c r="AD870" s="161">
        <v>13</v>
      </c>
      <c r="AE870" s="161">
        <v>4</v>
      </c>
      <c r="AF870" s="161">
        <v>29</v>
      </c>
      <c r="AG870" s="161">
        <v>6</v>
      </c>
      <c r="AH870" s="145"/>
    </row>
    <row r="871" spans="29:34" x14ac:dyDescent="0.15">
      <c r="AC871" s="159">
        <v>35190</v>
      </c>
      <c r="AD871" s="161">
        <v>13</v>
      </c>
      <c r="AE871" s="161">
        <v>4</v>
      </c>
      <c r="AF871" s="161">
        <v>30</v>
      </c>
      <c r="AG871" s="161">
        <v>5</v>
      </c>
      <c r="AH871" s="145"/>
    </row>
    <row r="872" spans="29:34" x14ac:dyDescent="0.15">
      <c r="AC872" s="159">
        <v>35221</v>
      </c>
      <c r="AD872" s="161">
        <v>13</v>
      </c>
      <c r="AE872" s="161">
        <v>4</v>
      </c>
      <c r="AF872" s="161">
        <v>31</v>
      </c>
      <c r="AG872" s="161">
        <v>4</v>
      </c>
      <c r="AH872" s="145"/>
    </row>
    <row r="873" spans="29:34" x14ac:dyDescent="0.15">
      <c r="AC873" s="159">
        <v>35253</v>
      </c>
      <c r="AD873" s="161">
        <v>13</v>
      </c>
      <c r="AE873" s="161">
        <v>4</v>
      </c>
      <c r="AF873" s="161">
        <v>32</v>
      </c>
      <c r="AG873" s="161">
        <v>3</v>
      </c>
      <c r="AH873" s="145"/>
    </row>
    <row r="874" spans="29:34" x14ac:dyDescent="0.15">
      <c r="AC874" s="159">
        <v>35284</v>
      </c>
      <c r="AD874" s="161">
        <v>13</v>
      </c>
      <c r="AE874" s="161">
        <v>4</v>
      </c>
      <c r="AF874" s="161">
        <v>33</v>
      </c>
      <c r="AG874" s="161">
        <v>2</v>
      </c>
      <c r="AH874" s="145"/>
    </row>
    <row r="875" spans="29:34" x14ac:dyDescent="0.15">
      <c r="AC875" s="159">
        <v>35315</v>
      </c>
      <c r="AD875" s="161">
        <v>13</v>
      </c>
      <c r="AE875" s="161">
        <v>4</v>
      </c>
      <c r="AF875" s="161">
        <v>34</v>
      </c>
      <c r="AG875" s="161">
        <v>1</v>
      </c>
      <c r="AH875" s="145"/>
    </row>
    <row r="876" spans="29:34" x14ac:dyDescent="0.15">
      <c r="AC876" s="159">
        <v>35346</v>
      </c>
      <c r="AD876" s="161">
        <v>13</v>
      </c>
      <c r="AE876" s="161">
        <v>4</v>
      </c>
      <c r="AF876" s="161">
        <v>35</v>
      </c>
      <c r="AG876" s="161">
        <v>9</v>
      </c>
      <c r="AH876" s="145"/>
    </row>
    <row r="877" spans="29:34" x14ac:dyDescent="0.15">
      <c r="AC877" s="159">
        <v>35376</v>
      </c>
      <c r="AD877" s="161">
        <v>13</v>
      </c>
      <c r="AE877" s="161">
        <v>4</v>
      </c>
      <c r="AF877" s="161">
        <v>36</v>
      </c>
      <c r="AG877" s="161">
        <v>8</v>
      </c>
      <c r="AH877" s="145"/>
    </row>
    <row r="878" spans="29:34" x14ac:dyDescent="0.15">
      <c r="AC878" s="159">
        <v>35406</v>
      </c>
      <c r="AD878" s="161">
        <v>13</v>
      </c>
      <c r="AE878" s="161">
        <v>4</v>
      </c>
      <c r="AF878" s="161">
        <v>37</v>
      </c>
      <c r="AG878" s="161">
        <v>7</v>
      </c>
      <c r="AH878" s="145"/>
    </row>
    <row r="879" spans="29:34" x14ac:dyDescent="0.15">
      <c r="AC879" s="159">
        <v>35435</v>
      </c>
      <c r="AD879" s="161">
        <v>13</v>
      </c>
      <c r="AE879" s="161">
        <v>4</v>
      </c>
      <c r="AF879" s="161">
        <v>38</v>
      </c>
      <c r="AG879" s="161">
        <v>6</v>
      </c>
      <c r="AH879" s="145"/>
    </row>
    <row r="880" spans="29:34" x14ac:dyDescent="0.15">
      <c r="AC880" s="159">
        <v>35465</v>
      </c>
      <c r="AD880" s="161">
        <v>14</v>
      </c>
      <c r="AE880" s="161">
        <v>3</v>
      </c>
      <c r="AF880" s="161">
        <v>39</v>
      </c>
      <c r="AG880" s="161">
        <v>5</v>
      </c>
      <c r="AH880" s="145"/>
    </row>
    <row r="881" spans="28:34" x14ac:dyDescent="0.15">
      <c r="AC881" s="159">
        <v>35494</v>
      </c>
      <c r="AD881" s="161">
        <v>14</v>
      </c>
      <c r="AE881" s="161">
        <v>3</v>
      </c>
      <c r="AF881" s="161">
        <v>40</v>
      </c>
      <c r="AG881" s="161">
        <v>4</v>
      </c>
      <c r="AH881" s="145"/>
    </row>
    <row r="882" spans="28:34" x14ac:dyDescent="0.15">
      <c r="AC882" s="159">
        <v>35525</v>
      </c>
      <c r="AD882" s="161">
        <v>14</v>
      </c>
      <c r="AE882" s="161">
        <v>3</v>
      </c>
      <c r="AF882" s="161">
        <v>41</v>
      </c>
      <c r="AG882" s="161">
        <v>3</v>
      </c>
      <c r="AH882" s="145"/>
    </row>
    <row r="883" spans="28:34" x14ac:dyDescent="0.15">
      <c r="AC883" s="159">
        <v>35555</v>
      </c>
      <c r="AD883" s="161">
        <v>14</v>
      </c>
      <c r="AE883" s="161">
        <v>3</v>
      </c>
      <c r="AF883" s="161">
        <v>42</v>
      </c>
      <c r="AG883" s="161">
        <v>2</v>
      </c>
      <c r="AH883" s="145"/>
    </row>
    <row r="884" spans="28:34" x14ac:dyDescent="0.15">
      <c r="AC884" s="159">
        <v>35587</v>
      </c>
      <c r="AD884" s="161">
        <v>14</v>
      </c>
      <c r="AE884" s="161">
        <v>3</v>
      </c>
      <c r="AF884" s="161">
        <v>43</v>
      </c>
      <c r="AG884" s="161">
        <v>1</v>
      </c>
      <c r="AH884" s="145"/>
    </row>
    <row r="885" spans="28:34" x14ac:dyDescent="0.15">
      <c r="AC885" s="159">
        <v>35618</v>
      </c>
      <c r="AD885" s="161">
        <v>14</v>
      </c>
      <c r="AE885" s="161">
        <v>3</v>
      </c>
      <c r="AF885" s="161">
        <v>44</v>
      </c>
      <c r="AG885" s="161">
        <v>9</v>
      </c>
      <c r="AH885" s="145"/>
    </row>
    <row r="886" spans="28:34" x14ac:dyDescent="0.15">
      <c r="AC886" s="159">
        <v>35649</v>
      </c>
      <c r="AD886" s="161">
        <v>14</v>
      </c>
      <c r="AE886" s="161">
        <v>3</v>
      </c>
      <c r="AF886" s="161">
        <v>45</v>
      </c>
      <c r="AG886" s="161">
        <v>8</v>
      </c>
      <c r="AH886" s="145"/>
    </row>
    <row r="887" spans="28:34" x14ac:dyDescent="0.15">
      <c r="AC887" s="159">
        <v>35680</v>
      </c>
      <c r="AD887" s="161">
        <v>14</v>
      </c>
      <c r="AE887" s="161">
        <v>3</v>
      </c>
      <c r="AF887" s="161">
        <v>46</v>
      </c>
      <c r="AG887" s="161">
        <v>7</v>
      </c>
      <c r="AH887" s="145"/>
    </row>
    <row r="888" spans="28:34" x14ac:dyDescent="0.15">
      <c r="AC888" s="159">
        <v>35711</v>
      </c>
      <c r="AD888" s="161">
        <v>14</v>
      </c>
      <c r="AE888" s="161">
        <v>3</v>
      </c>
      <c r="AF888" s="161">
        <v>47</v>
      </c>
      <c r="AG888" s="161">
        <v>6</v>
      </c>
      <c r="AH888" s="145"/>
    </row>
    <row r="889" spans="28:34" x14ac:dyDescent="0.15">
      <c r="AC889" s="159">
        <v>35741</v>
      </c>
      <c r="AD889" s="161">
        <v>14</v>
      </c>
      <c r="AE889" s="161">
        <v>3</v>
      </c>
      <c r="AF889" s="161">
        <v>48</v>
      </c>
      <c r="AG889" s="161">
        <v>5</v>
      </c>
      <c r="AH889" s="145"/>
    </row>
    <row r="890" spans="28:34" x14ac:dyDescent="0.15">
      <c r="AB890">
        <v>5</v>
      </c>
      <c r="AC890" s="159">
        <v>35771</v>
      </c>
      <c r="AD890" s="161">
        <v>14</v>
      </c>
      <c r="AE890" s="161">
        <v>3</v>
      </c>
      <c r="AF890" s="161">
        <v>49</v>
      </c>
      <c r="AG890" s="161">
        <v>4</v>
      </c>
      <c r="AH890" s="145"/>
    </row>
    <row r="891" spans="28:34" x14ac:dyDescent="0.15">
      <c r="AB891">
        <v>6</v>
      </c>
      <c r="AC891" s="159">
        <v>35800</v>
      </c>
      <c r="AD891" s="161">
        <v>14</v>
      </c>
      <c r="AE891" s="161">
        <v>3</v>
      </c>
      <c r="AF891" s="161">
        <v>50</v>
      </c>
      <c r="AG891" s="161">
        <v>3</v>
      </c>
      <c r="AH891" s="145"/>
    </row>
    <row r="892" spans="28:34" x14ac:dyDescent="0.15">
      <c r="AC892" s="159">
        <v>35830</v>
      </c>
      <c r="AD892" s="161">
        <v>15</v>
      </c>
      <c r="AE892" s="161">
        <v>2</v>
      </c>
      <c r="AF892" s="161">
        <v>51</v>
      </c>
      <c r="AG892" s="161">
        <v>2</v>
      </c>
      <c r="AH892" s="145"/>
    </row>
    <row r="893" spans="28:34" x14ac:dyDescent="0.15">
      <c r="AC893" s="159">
        <v>35860</v>
      </c>
      <c r="AD893" s="161">
        <v>15</v>
      </c>
      <c r="AE893" s="161">
        <v>2</v>
      </c>
      <c r="AF893" s="161">
        <v>52</v>
      </c>
      <c r="AG893" s="161">
        <v>1</v>
      </c>
      <c r="AH893" s="145"/>
    </row>
    <row r="894" spans="28:34" x14ac:dyDescent="0.15">
      <c r="AC894" s="159">
        <v>35890</v>
      </c>
      <c r="AD894" s="161">
        <v>15</v>
      </c>
      <c r="AE894" s="161">
        <v>2</v>
      </c>
      <c r="AF894" s="161">
        <v>53</v>
      </c>
      <c r="AG894" s="161">
        <v>9</v>
      </c>
      <c r="AH894" s="145"/>
    </row>
    <row r="895" spans="28:34" x14ac:dyDescent="0.15">
      <c r="AC895" s="159">
        <v>35921</v>
      </c>
      <c r="AD895" s="161">
        <v>15</v>
      </c>
      <c r="AE895" s="161">
        <v>2</v>
      </c>
      <c r="AF895" s="161">
        <v>54</v>
      </c>
      <c r="AG895" s="161">
        <v>8</v>
      </c>
      <c r="AH895" s="145"/>
    </row>
    <row r="896" spans="28:34" x14ac:dyDescent="0.15">
      <c r="AC896" s="159">
        <v>35952</v>
      </c>
      <c r="AD896" s="161">
        <v>15</v>
      </c>
      <c r="AE896" s="161">
        <v>2</v>
      </c>
      <c r="AF896" s="161">
        <v>55</v>
      </c>
      <c r="AG896" s="161">
        <v>7</v>
      </c>
      <c r="AH896" s="145"/>
    </row>
    <row r="897" spans="29:34" x14ac:dyDescent="0.15">
      <c r="AC897" s="159">
        <v>35983</v>
      </c>
      <c r="AD897" s="161">
        <v>15</v>
      </c>
      <c r="AE897" s="161">
        <v>2</v>
      </c>
      <c r="AF897" s="161">
        <v>56</v>
      </c>
      <c r="AG897" s="161">
        <v>6</v>
      </c>
      <c r="AH897" s="145"/>
    </row>
    <row r="898" spans="29:34" x14ac:dyDescent="0.15">
      <c r="AC898" s="159">
        <v>36015</v>
      </c>
      <c r="AD898" s="161">
        <v>15</v>
      </c>
      <c r="AE898" s="161">
        <v>2</v>
      </c>
      <c r="AF898" s="161">
        <v>57</v>
      </c>
      <c r="AG898" s="161">
        <v>5</v>
      </c>
      <c r="AH898" s="145"/>
    </row>
    <row r="899" spans="29:34" x14ac:dyDescent="0.15">
      <c r="AC899" s="159">
        <v>36046</v>
      </c>
      <c r="AD899" s="161">
        <v>15</v>
      </c>
      <c r="AE899" s="161">
        <v>2</v>
      </c>
      <c r="AF899" s="161">
        <v>58</v>
      </c>
      <c r="AG899" s="161">
        <v>4</v>
      </c>
      <c r="AH899" s="145"/>
    </row>
    <row r="900" spans="29:34" x14ac:dyDescent="0.15">
      <c r="AC900" s="159">
        <v>36076</v>
      </c>
      <c r="AD900" s="161">
        <v>15</v>
      </c>
      <c r="AE900" s="161">
        <v>2</v>
      </c>
      <c r="AF900" s="161">
        <v>59</v>
      </c>
      <c r="AG900" s="161">
        <v>3</v>
      </c>
      <c r="AH900" s="145"/>
    </row>
    <row r="901" spans="29:34" x14ac:dyDescent="0.15">
      <c r="AC901" s="159">
        <v>36107</v>
      </c>
      <c r="AD901" s="161">
        <v>15</v>
      </c>
      <c r="AE901" s="161">
        <v>2</v>
      </c>
      <c r="AF901" s="161">
        <v>60</v>
      </c>
      <c r="AG901" s="161">
        <v>2</v>
      </c>
      <c r="AH901" s="145"/>
    </row>
    <row r="902" spans="29:34" x14ac:dyDescent="0.15">
      <c r="AC902" s="159">
        <v>36136</v>
      </c>
      <c r="AD902" s="161">
        <v>15</v>
      </c>
      <c r="AE902" s="161">
        <v>2</v>
      </c>
      <c r="AF902" s="161">
        <v>1</v>
      </c>
      <c r="AG902" s="161">
        <v>1</v>
      </c>
      <c r="AH902" s="145"/>
    </row>
    <row r="903" spans="29:34" x14ac:dyDescent="0.15">
      <c r="AC903" s="159">
        <v>36166</v>
      </c>
      <c r="AD903" s="161">
        <v>15</v>
      </c>
      <c r="AE903" s="161">
        <v>2</v>
      </c>
      <c r="AF903" s="161">
        <v>2</v>
      </c>
      <c r="AG903" s="161">
        <v>9</v>
      </c>
      <c r="AH903" s="145"/>
    </row>
    <row r="904" spans="29:34" x14ac:dyDescent="0.15">
      <c r="AC904" s="159">
        <v>36195</v>
      </c>
      <c r="AD904" s="161">
        <v>16</v>
      </c>
      <c r="AE904" s="161">
        <v>1</v>
      </c>
      <c r="AF904" s="161">
        <v>3</v>
      </c>
      <c r="AG904" s="161">
        <v>8</v>
      </c>
      <c r="AH904" s="145"/>
    </row>
    <row r="905" spans="29:34" x14ac:dyDescent="0.15">
      <c r="AC905" s="159">
        <v>36225</v>
      </c>
      <c r="AD905" s="161">
        <v>16</v>
      </c>
      <c r="AE905" s="161">
        <v>1</v>
      </c>
      <c r="AF905" s="161">
        <v>4</v>
      </c>
      <c r="AG905" s="161">
        <v>7</v>
      </c>
      <c r="AH905" s="145"/>
    </row>
    <row r="906" spans="29:34" x14ac:dyDescent="0.15">
      <c r="AC906" s="159">
        <v>36255</v>
      </c>
      <c r="AD906" s="161">
        <v>16</v>
      </c>
      <c r="AE906" s="161">
        <v>1</v>
      </c>
      <c r="AF906" s="161">
        <v>5</v>
      </c>
      <c r="AG906" s="161">
        <v>6</v>
      </c>
      <c r="AH906" s="145"/>
    </row>
    <row r="907" spans="29:34" x14ac:dyDescent="0.15">
      <c r="AC907" s="159">
        <v>36286</v>
      </c>
      <c r="AD907" s="161">
        <v>16</v>
      </c>
      <c r="AE907" s="161">
        <v>1</v>
      </c>
      <c r="AF907" s="161">
        <v>6</v>
      </c>
      <c r="AG907" s="161">
        <v>5</v>
      </c>
      <c r="AH907" s="145"/>
    </row>
    <row r="908" spans="29:34" x14ac:dyDescent="0.15">
      <c r="AC908" s="159">
        <v>36317</v>
      </c>
      <c r="AD908" s="161">
        <v>16</v>
      </c>
      <c r="AE908" s="161">
        <v>1</v>
      </c>
      <c r="AF908" s="161">
        <v>7</v>
      </c>
      <c r="AG908" s="161">
        <v>4</v>
      </c>
      <c r="AH908" s="145"/>
    </row>
    <row r="909" spans="29:34" x14ac:dyDescent="0.15">
      <c r="AC909" s="159">
        <v>36348</v>
      </c>
      <c r="AD909" s="161">
        <v>16</v>
      </c>
      <c r="AE909" s="161">
        <v>1</v>
      </c>
      <c r="AF909" s="161">
        <v>8</v>
      </c>
      <c r="AG909" s="161">
        <v>3</v>
      </c>
      <c r="AH909" s="145"/>
    </row>
    <row r="910" spans="29:34" x14ac:dyDescent="0.15">
      <c r="AC910" s="159">
        <v>36380</v>
      </c>
      <c r="AD910" s="161">
        <v>16</v>
      </c>
      <c r="AE910" s="161">
        <v>1</v>
      </c>
      <c r="AF910" s="161">
        <v>9</v>
      </c>
      <c r="AG910" s="161">
        <v>2</v>
      </c>
      <c r="AH910" s="145"/>
    </row>
    <row r="911" spans="29:34" x14ac:dyDescent="0.15">
      <c r="AC911" s="159">
        <v>36411</v>
      </c>
      <c r="AD911" s="161">
        <v>16</v>
      </c>
      <c r="AE911" s="161">
        <v>1</v>
      </c>
      <c r="AF911" s="161">
        <v>10</v>
      </c>
      <c r="AG911" s="161">
        <v>1</v>
      </c>
      <c r="AH911" s="145"/>
    </row>
    <row r="912" spans="29:34" x14ac:dyDescent="0.15">
      <c r="AC912" s="159">
        <v>36442</v>
      </c>
      <c r="AD912" s="161">
        <v>16</v>
      </c>
      <c r="AE912" s="161">
        <v>1</v>
      </c>
      <c r="AF912" s="161">
        <v>11</v>
      </c>
      <c r="AG912" s="161">
        <v>9</v>
      </c>
      <c r="AH912" s="145"/>
    </row>
    <row r="913" spans="28:34" x14ac:dyDescent="0.15">
      <c r="AC913" s="159">
        <v>36472</v>
      </c>
      <c r="AD913" s="161">
        <v>16</v>
      </c>
      <c r="AE913" s="161">
        <v>1</v>
      </c>
      <c r="AF913" s="161">
        <v>12</v>
      </c>
      <c r="AG913" s="161">
        <v>8</v>
      </c>
      <c r="AH913" s="145"/>
    </row>
    <row r="914" spans="28:34" x14ac:dyDescent="0.15">
      <c r="AC914" s="159">
        <v>36501</v>
      </c>
      <c r="AD914" s="161">
        <v>16</v>
      </c>
      <c r="AE914" s="161">
        <v>1</v>
      </c>
      <c r="AF914" s="161">
        <v>13</v>
      </c>
      <c r="AG914" s="161">
        <v>7</v>
      </c>
      <c r="AH914" s="145"/>
    </row>
    <row r="915" spans="28:34" x14ac:dyDescent="0.15">
      <c r="AC915" s="159">
        <v>36531</v>
      </c>
      <c r="AD915" s="161">
        <v>16</v>
      </c>
      <c r="AE915" s="161">
        <v>1</v>
      </c>
      <c r="AF915" s="161">
        <v>14</v>
      </c>
      <c r="AG915" s="161">
        <v>6</v>
      </c>
      <c r="AH915" s="145"/>
    </row>
    <row r="916" spans="28:34" x14ac:dyDescent="0.15">
      <c r="AC916" s="159">
        <v>36560</v>
      </c>
      <c r="AD916" s="161">
        <v>17</v>
      </c>
      <c r="AE916" s="161">
        <v>9</v>
      </c>
      <c r="AF916" s="161">
        <v>15</v>
      </c>
      <c r="AG916" s="161">
        <v>5</v>
      </c>
      <c r="AH916" s="145"/>
    </row>
    <row r="917" spans="28:34" x14ac:dyDescent="0.15">
      <c r="AC917" s="159">
        <v>36590</v>
      </c>
      <c r="AD917" s="161">
        <v>17</v>
      </c>
      <c r="AE917" s="161">
        <v>9</v>
      </c>
      <c r="AF917" s="161">
        <v>16</v>
      </c>
      <c r="AG917" s="161">
        <v>4</v>
      </c>
      <c r="AH917" s="145"/>
    </row>
    <row r="918" spans="28:34" x14ac:dyDescent="0.15">
      <c r="AC918" s="159">
        <v>36620</v>
      </c>
      <c r="AD918" s="161">
        <v>17</v>
      </c>
      <c r="AE918" s="161">
        <v>9</v>
      </c>
      <c r="AF918" s="161">
        <v>17</v>
      </c>
      <c r="AG918" s="161">
        <v>3</v>
      </c>
      <c r="AH918" s="145"/>
    </row>
    <row r="919" spans="28:34" x14ac:dyDescent="0.15">
      <c r="AC919" s="159">
        <v>36651</v>
      </c>
      <c r="AD919" s="161">
        <v>17</v>
      </c>
      <c r="AE919" s="161">
        <v>9</v>
      </c>
      <c r="AF919" s="161">
        <v>18</v>
      </c>
      <c r="AG919" s="161">
        <v>2</v>
      </c>
      <c r="AH919" s="145"/>
    </row>
    <row r="920" spans="28:34" x14ac:dyDescent="0.15">
      <c r="AC920" s="159">
        <v>36682</v>
      </c>
      <c r="AD920" s="161">
        <v>17</v>
      </c>
      <c r="AE920" s="161">
        <v>9</v>
      </c>
      <c r="AF920" s="161">
        <v>19</v>
      </c>
      <c r="AG920" s="161">
        <v>1</v>
      </c>
      <c r="AH920" s="145"/>
    </row>
    <row r="921" spans="28:34" x14ac:dyDescent="0.15">
      <c r="AC921" s="159">
        <v>36714</v>
      </c>
      <c r="AD921" s="161">
        <v>17</v>
      </c>
      <c r="AE921" s="161">
        <v>9</v>
      </c>
      <c r="AF921" s="161">
        <v>20</v>
      </c>
      <c r="AG921" s="161">
        <v>9</v>
      </c>
      <c r="AH921" s="145"/>
    </row>
    <row r="922" spans="28:34" x14ac:dyDescent="0.15">
      <c r="AB922">
        <v>6</v>
      </c>
      <c r="AC922" s="159">
        <v>36745</v>
      </c>
      <c r="AD922" s="161">
        <v>17</v>
      </c>
      <c r="AE922" s="161">
        <v>9</v>
      </c>
      <c r="AF922" s="161">
        <v>21</v>
      </c>
      <c r="AG922" s="161">
        <v>8</v>
      </c>
      <c r="AH922" s="145"/>
    </row>
    <row r="923" spans="28:34" x14ac:dyDescent="0.15">
      <c r="AB923">
        <v>7</v>
      </c>
      <c r="AC923" s="159">
        <v>36776</v>
      </c>
      <c r="AD923" s="161">
        <v>17</v>
      </c>
      <c r="AE923" s="161">
        <v>9</v>
      </c>
      <c r="AF923" s="161">
        <v>22</v>
      </c>
      <c r="AG923" s="161">
        <v>7</v>
      </c>
      <c r="AH923" s="145"/>
    </row>
    <row r="924" spans="28:34" x14ac:dyDescent="0.15">
      <c r="AC924" s="159">
        <v>36807</v>
      </c>
      <c r="AD924" s="161">
        <v>17</v>
      </c>
      <c r="AE924" s="161">
        <v>9</v>
      </c>
      <c r="AF924" s="161">
        <v>23</v>
      </c>
      <c r="AG924" s="161">
        <v>6</v>
      </c>
      <c r="AH924" s="145"/>
    </row>
    <row r="925" spans="28:34" x14ac:dyDescent="0.15">
      <c r="AC925" s="159">
        <v>36837</v>
      </c>
      <c r="AD925" s="161">
        <v>17</v>
      </c>
      <c r="AE925" s="161">
        <v>9</v>
      </c>
      <c r="AF925" s="161">
        <v>24</v>
      </c>
      <c r="AG925" s="161">
        <v>5</v>
      </c>
      <c r="AH925" s="145"/>
    </row>
    <row r="926" spans="28:34" x14ac:dyDescent="0.15">
      <c r="AC926" s="159">
        <v>36867</v>
      </c>
      <c r="AD926" s="161">
        <v>17</v>
      </c>
      <c r="AE926" s="161">
        <v>9</v>
      </c>
      <c r="AF926" s="161">
        <v>25</v>
      </c>
      <c r="AG926" s="161">
        <v>4</v>
      </c>
      <c r="AH926" s="145"/>
    </row>
    <row r="927" spans="28:34" x14ac:dyDescent="0.15">
      <c r="AC927" s="159">
        <v>36896</v>
      </c>
      <c r="AD927" s="161">
        <v>17</v>
      </c>
      <c r="AE927" s="161">
        <v>9</v>
      </c>
      <c r="AF927" s="161">
        <v>26</v>
      </c>
      <c r="AG927" s="161">
        <v>3</v>
      </c>
      <c r="AH927" s="145"/>
    </row>
    <row r="928" spans="28:34" x14ac:dyDescent="0.15">
      <c r="AC928" s="159">
        <v>36926</v>
      </c>
      <c r="AD928" s="161">
        <v>18</v>
      </c>
      <c r="AE928" s="161">
        <v>8</v>
      </c>
      <c r="AF928" s="161">
        <v>27</v>
      </c>
      <c r="AG928" s="161">
        <v>2</v>
      </c>
      <c r="AH928" s="145"/>
    </row>
    <row r="929" spans="29:34" x14ac:dyDescent="0.15">
      <c r="AC929" s="159">
        <v>36955</v>
      </c>
      <c r="AD929" s="161">
        <v>18</v>
      </c>
      <c r="AE929" s="161">
        <v>8</v>
      </c>
      <c r="AF929" s="161">
        <v>28</v>
      </c>
      <c r="AG929" s="161">
        <v>1</v>
      </c>
      <c r="AH929" s="145"/>
    </row>
    <row r="930" spans="29:34" x14ac:dyDescent="0.15">
      <c r="AC930" s="159">
        <v>36986</v>
      </c>
      <c r="AD930" s="161">
        <v>18</v>
      </c>
      <c r="AE930" s="161">
        <v>8</v>
      </c>
      <c r="AF930" s="161">
        <v>29</v>
      </c>
      <c r="AG930" s="161">
        <v>9</v>
      </c>
      <c r="AH930" s="145"/>
    </row>
    <row r="931" spans="29:34" x14ac:dyDescent="0.15">
      <c r="AC931" s="159">
        <v>37016</v>
      </c>
      <c r="AD931" s="161">
        <v>18</v>
      </c>
      <c r="AE931" s="161">
        <v>8</v>
      </c>
      <c r="AF931" s="161">
        <v>30</v>
      </c>
      <c r="AG931" s="161">
        <v>8</v>
      </c>
      <c r="AH931" s="145"/>
    </row>
    <row r="932" spans="29:34" x14ac:dyDescent="0.15">
      <c r="AC932" s="159">
        <v>37047</v>
      </c>
      <c r="AD932" s="161">
        <v>18</v>
      </c>
      <c r="AE932" s="161">
        <v>8</v>
      </c>
      <c r="AF932" s="161">
        <v>31</v>
      </c>
      <c r="AG932" s="161">
        <v>7</v>
      </c>
      <c r="AH932" s="145"/>
    </row>
    <row r="933" spans="29:34" x14ac:dyDescent="0.15">
      <c r="AC933" s="159">
        <v>37079</v>
      </c>
      <c r="AD933" s="161">
        <v>18</v>
      </c>
      <c r="AE933" s="161">
        <v>8</v>
      </c>
      <c r="AF933" s="161">
        <v>32</v>
      </c>
      <c r="AG933" s="161">
        <v>6</v>
      </c>
      <c r="AH933" s="145"/>
    </row>
    <row r="934" spans="29:34" x14ac:dyDescent="0.15">
      <c r="AC934" s="159">
        <v>37110</v>
      </c>
      <c r="AD934" s="161">
        <v>18</v>
      </c>
      <c r="AE934" s="161">
        <v>8</v>
      </c>
      <c r="AF934" s="161">
        <v>33</v>
      </c>
      <c r="AG934" s="161">
        <v>5</v>
      </c>
      <c r="AH934" s="145"/>
    </row>
    <row r="935" spans="29:34" x14ac:dyDescent="0.15">
      <c r="AC935" s="159">
        <v>37141</v>
      </c>
      <c r="AD935" s="161">
        <v>18</v>
      </c>
      <c r="AE935" s="161">
        <v>8</v>
      </c>
      <c r="AF935" s="161">
        <v>34</v>
      </c>
      <c r="AG935" s="161">
        <v>4</v>
      </c>
      <c r="AH935" s="145"/>
    </row>
    <row r="936" spans="29:34" x14ac:dyDescent="0.15">
      <c r="AC936" s="159">
        <v>37172</v>
      </c>
      <c r="AD936" s="161">
        <v>18</v>
      </c>
      <c r="AE936" s="161">
        <v>8</v>
      </c>
      <c r="AF936" s="161">
        <v>35</v>
      </c>
      <c r="AG936" s="161">
        <v>3</v>
      </c>
      <c r="AH936" s="145"/>
    </row>
    <row r="937" spans="29:34" x14ac:dyDescent="0.15">
      <c r="AC937" s="159">
        <v>37202</v>
      </c>
      <c r="AD937" s="161">
        <v>18</v>
      </c>
      <c r="AE937" s="161">
        <v>8</v>
      </c>
      <c r="AF937" s="161">
        <v>36</v>
      </c>
      <c r="AG937" s="161">
        <v>2</v>
      </c>
      <c r="AH937" s="145"/>
    </row>
    <row r="938" spans="29:34" x14ac:dyDescent="0.15">
      <c r="AC938" s="159">
        <v>37232</v>
      </c>
      <c r="AD938" s="161">
        <v>18</v>
      </c>
      <c r="AE938" s="161">
        <v>8</v>
      </c>
      <c r="AF938" s="161">
        <v>37</v>
      </c>
      <c r="AG938" s="161">
        <v>1</v>
      </c>
      <c r="AH938" s="145"/>
    </row>
    <row r="939" spans="29:34" x14ac:dyDescent="0.15">
      <c r="AC939" s="159">
        <v>37261</v>
      </c>
      <c r="AD939" s="161">
        <v>18</v>
      </c>
      <c r="AE939" s="161">
        <v>8</v>
      </c>
      <c r="AF939" s="161">
        <v>38</v>
      </c>
      <c r="AG939" s="161">
        <v>9</v>
      </c>
      <c r="AH939" s="145"/>
    </row>
    <row r="940" spans="29:34" x14ac:dyDescent="0.15">
      <c r="AC940" s="159">
        <v>37291</v>
      </c>
      <c r="AD940" s="161">
        <v>19</v>
      </c>
      <c r="AE940" s="161">
        <v>7</v>
      </c>
      <c r="AF940" s="161">
        <v>39</v>
      </c>
      <c r="AG940" s="161">
        <v>8</v>
      </c>
      <c r="AH940" s="145"/>
    </row>
    <row r="941" spans="29:34" x14ac:dyDescent="0.15">
      <c r="AC941" s="159">
        <v>37321</v>
      </c>
      <c r="AD941" s="161">
        <v>19</v>
      </c>
      <c r="AE941" s="161">
        <v>7</v>
      </c>
      <c r="AF941" s="161">
        <v>40</v>
      </c>
      <c r="AG941" s="161">
        <v>7</v>
      </c>
      <c r="AH941" s="145"/>
    </row>
    <row r="942" spans="29:34" x14ac:dyDescent="0.15">
      <c r="AC942" s="159">
        <v>37351</v>
      </c>
      <c r="AD942" s="161">
        <v>19</v>
      </c>
      <c r="AE942" s="161">
        <v>7</v>
      </c>
      <c r="AF942" s="161">
        <v>41</v>
      </c>
      <c r="AG942" s="161">
        <v>6</v>
      </c>
      <c r="AH942" s="145"/>
    </row>
    <row r="943" spans="29:34" x14ac:dyDescent="0.15">
      <c r="AC943" s="159">
        <v>37382</v>
      </c>
      <c r="AD943" s="161">
        <v>19</v>
      </c>
      <c r="AE943" s="161">
        <v>7</v>
      </c>
      <c r="AF943" s="161">
        <v>42</v>
      </c>
      <c r="AG943" s="161">
        <v>5</v>
      </c>
      <c r="AH943" s="145"/>
    </row>
    <row r="944" spans="29:34" x14ac:dyDescent="0.15">
      <c r="AC944" s="159">
        <v>37413</v>
      </c>
      <c r="AD944" s="161">
        <v>19</v>
      </c>
      <c r="AE944" s="161">
        <v>7</v>
      </c>
      <c r="AF944" s="161">
        <v>43</v>
      </c>
      <c r="AG944" s="161">
        <v>4</v>
      </c>
      <c r="AH944" s="145"/>
    </row>
    <row r="945" spans="28:34" x14ac:dyDescent="0.15">
      <c r="AC945" s="159">
        <v>37444</v>
      </c>
      <c r="AD945" s="161">
        <v>19</v>
      </c>
      <c r="AE945" s="161">
        <v>7</v>
      </c>
      <c r="AF945" s="161">
        <v>44</v>
      </c>
      <c r="AG945" s="161">
        <v>3</v>
      </c>
      <c r="AH945" s="145"/>
    </row>
    <row r="946" spans="28:34" x14ac:dyDescent="0.15">
      <c r="AC946" s="159">
        <v>37476</v>
      </c>
      <c r="AD946" s="161">
        <v>19</v>
      </c>
      <c r="AE946" s="161">
        <v>7</v>
      </c>
      <c r="AF946" s="161">
        <v>45</v>
      </c>
      <c r="AG946" s="161">
        <v>2</v>
      </c>
      <c r="AH946" s="145"/>
    </row>
    <row r="947" spans="28:34" x14ac:dyDescent="0.15">
      <c r="AC947" s="159">
        <v>37507</v>
      </c>
      <c r="AD947" s="161">
        <v>19</v>
      </c>
      <c r="AE947" s="161">
        <v>7</v>
      </c>
      <c r="AF947" s="161">
        <v>46</v>
      </c>
      <c r="AG947" s="161">
        <v>1</v>
      </c>
      <c r="AH947" s="145"/>
    </row>
    <row r="948" spans="28:34" x14ac:dyDescent="0.15">
      <c r="AC948" s="159">
        <v>37537</v>
      </c>
      <c r="AD948" s="161">
        <v>19</v>
      </c>
      <c r="AE948" s="161">
        <v>7</v>
      </c>
      <c r="AF948" s="161">
        <v>47</v>
      </c>
      <c r="AG948" s="161">
        <v>9</v>
      </c>
      <c r="AH948" s="145"/>
    </row>
    <row r="949" spans="28:34" x14ac:dyDescent="0.15">
      <c r="AC949" s="159">
        <v>37567</v>
      </c>
      <c r="AD949" s="161">
        <v>19</v>
      </c>
      <c r="AE949" s="161">
        <v>7</v>
      </c>
      <c r="AF949" s="161">
        <v>48</v>
      </c>
      <c r="AG949" s="161">
        <v>8</v>
      </c>
      <c r="AH949" s="145"/>
    </row>
    <row r="950" spans="28:34" x14ac:dyDescent="0.15">
      <c r="AC950" s="159">
        <v>37597</v>
      </c>
      <c r="AD950" s="161">
        <v>19</v>
      </c>
      <c r="AE950" s="161">
        <v>7</v>
      </c>
      <c r="AF950" s="161">
        <v>49</v>
      </c>
      <c r="AG950" s="161">
        <v>7</v>
      </c>
      <c r="AH950" s="145"/>
    </row>
    <row r="951" spans="28:34" x14ac:dyDescent="0.15">
      <c r="AC951" s="159">
        <v>37627</v>
      </c>
      <c r="AD951" s="161">
        <v>19</v>
      </c>
      <c r="AE951" s="161">
        <v>7</v>
      </c>
      <c r="AF951" s="161">
        <v>50</v>
      </c>
      <c r="AG951" s="161">
        <v>6</v>
      </c>
      <c r="AH951" s="145"/>
    </row>
    <row r="952" spans="28:34" x14ac:dyDescent="0.15">
      <c r="AC952" s="159">
        <v>37656</v>
      </c>
      <c r="AD952" s="161">
        <v>20</v>
      </c>
      <c r="AE952" s="161">
        <v>6</v>
      </c>
      <c r="AF952" s="161">
        <v>51</v>
      </c>
      <c r="AG952" s="161">
        <v>5</v>
      </c>
      <c r="AH952" s="145"/>
    </row>
    <row r="953" spans="28:34" x14ac:dyDescent="0.15">
      <c r="AB953">
        <v>7</v>
      </c>
      <c r="AC953" s="159">
        <v>37686</v>
      </c>
      <c r="AD953" s="161">
        <v>20</v>
      </c>
      <c r="AE953" s="161">
        <v>6</v>
      </c>
      <c r="AF953" s="161">
        <v>52</v>
      </c>
      <c r="AG953" s="161">
        <v>4</v>
      </c>
      <c r="AH953" s="145"/>
    </row>
    <row r="954" spans="28:34" x14ac:dyDescent="0.15">
      <c r="AB954">
        <v>8</v>
      </c>
      <c r="AC954" s="159">
        <v>37716</v>
      </c>
      <c r="AD954" s="161">
        <v>20</v>
      </c>
      <c r="AE954" s="161">
        <v>6</v>
      </c>
      <c r="AF954" s="161">
        <v>53</v>
      </c>
      <c r="AG954" s="161">
        <v>3</v>
      </c>
      <c r="AH954" s="145"/>
    </row>
    <row r="955" spans="28:34" x14ac:dyDescent="0.15">
      <c r="AC955" s="159">
        <v>37747</v>
      </c>
      <c r="AD955" s="161">
        <v>20</v>
      </c>
      <c r="AE955" s="161">
        <v>6</v>
      </c>
      <c r="AF955" s="161">
        <v>54</v>
      </c>
      <c r="AG955" s="161">
        <v>2</v>
      </c>
      <c r="AH955" s="145"/>
    </row>
    <row r="956" spans="28:34" x14ac:dyDescent="0.15">
      <c r="AC956" s="159">
        <v>37778</v>
      </c>
      <c r="AD956" s="161">
        <v>20</v>
      </c>
      <c r="AE956" s="161">
        <v>6</v>
      </c>
      <c r="AF956" s="161">
        <v>55</v>
      </c>
      <c r="AG956" s="161">
        <v>1</v>
      </c>
      <c r="AH956" s="145"/>
    </row>
    <row r="957" spans="28:34" x14ac:dyDescent="0.15">
      <c r="AC957" s="159">
        <v>37809</v>
      </c>
      <c r="AD957" s="161">
        <v>20</v>
      </c>
      <c r="AE957" s="161">
        <v>6</v>
      </c>
      <c r="AF957" s="161">
        <v>56</v>
      </c>
      <c r="AG957" s="161">
        <v>9</v>
      </c>
      <c r="AH957" s="145"/>
    </row>
    <row r="958" spans="28:34" x14ac:dyDescent="0.15">
      <c r="AC958" s="159">
        <v>37841</v>
      </c>
      <c r="AD958" s="161">
        <v>20</v>
      </c>
      <c r="AE958" s="161">
        <v>6</v>
      </c>
      <c r="AF958" s="161">
        <v>57</v>
      </c>
      <c r="AG958" s="161">
        <v>8</v>
      </c>
      <c r="AH958" s="145"/>
    </row>
    <row r="959" spans="28:34" x14ac:dyDescent="0.15">
      <c r="AC959" s="159">
        <v>37872</v>
      </c>
      <c r="AD959" s="161">
        <v>20</v>
      </c>
      <c r="AE959" s="161">
        <v>6</v>
      </c>
      <c r="AF959" s="161">
        <v>58</v>
      </c>
      <c r="AG959" s="161">
        <v>7</v>
      </c>
      <c r="AH959" s="145"/>
    </row>
    <row r="960" spans="28:34" x14ac:dyDescent="0.15">
      <c r="AC960" s="159">
        <v>37903</v>
      </c>
      <c r="AD960" s="161">
        <v>20</v>
      </c>
      <c r="AE960" s="161">
        <v>6</v>
      </c>
      <c r="AF960" s="161">
        <v>59</v>
      </c>
      <c r="AG960" s="161">
        <v>6</v>
      </c>
      <c r="AH960" s="145"/>
    </row>
    <row r="961" spans="29:34" x14ac:dyDescent="0.15">
      <c r="AC961" s="159">
        <v>37933</v>
      </c>
      <c r="AD961" s="161">
        <v>20</v>
      </c>
      <c r="AE961" s="161">
        <v>6</v>
      </c>
      <c r="AF961" s="161">
        <v>60</v>
      </c>
      <c r="AG961" s="161">
        <v>5</v>
      </c>
      <c r="AH961" s="145"/>
    </row>
    <row r="962" spans="29:34" x14ac:dyDescent="0.15">
      <c r="AC962" s="159">
        <v>37962</v>
      </c>
      <c r="AD962" s="161">
        <v>20</v>
      </c>
      <c r="AE962" s="161">
        <v>6</v>
      </c>
      <c r="AF962" s="161">
        <v>1</v>
      </c>
      <c r="AG962" s="161">
        <v>4</v>
      </c>
      <c r="AH962" s="145"/>
    </row>
    <row r="963" spans="29:34" x14ac:dyDescent="0.15">
      <c r="AC963" s="159">
        <v>37992</v>
      </c>
      <c r="AD963" s="161">
        <v>20</v>
      </c>
      <c r="AE963" s="161">
        <v>6</v>
      </c>
      <c r="AF963" s="161">
        <v>2</v>
      </c>
      <c r="AG963" s="161">
        <v>3</v>
      </c>
      <c r="AH963" s="145"/>
    </row>
    <row r="964" spans="29:34" x14ac:dyDescent="0.15">
      <c r="AC964" s="159">
        <v>38021</v>
      </c>
      <c r="AD964" s="161">
        <v>21</v>
      </c>
      <c r="AE964" s="161">
        <v>5</v>
      </c>
      <c r="AF964" s="161">
        <v>3</v>
      </c>
      <c r="AG964" s="161">
        <v>2</v>
      </c>
      <c r="AH964" s="145"/>
    </row>
    <row r="965" spans="29:34" x14ac:dyDescent="0.15">
      <c r="AC965" s="159">
        <v>38051</v>
      </c>
      <c r="AD965" s="161">
        <v>21</v>
      </c>
      <c r="AE965" s="161">
        <v>5</v>
      </c>
      <c r="AF965" s="161">
        <v>4</v>
      </c>
      <c r="AG965" s="161">
        <v>1</v>
      </c>
      <c r="AH965" s="145"/>
    </row>
    <row r="966" spans="29:34" x14ac:dyDescent="0.15">
      <c r="AC966" s="159">
        <v>38081</v>
      </c>
      <c r="AD966" s="161">
        <v>21</v>
      </c>
      <c r="AE966" s="161">
        <v>5</v>
      </c>
      <c r="AF966" s="161">
        <v>5</v>
      </c>
      <c r="AG966" s="161">
        <v>9</v>
      </c>
      <c r="AH966" s="145"/>
    </row>
    <row r="967" spans="29:34" x14ac:dyDescent="0.15">
      <c r="AC967" s="159">
        <v>38112</v>
      </c>
      <c r="AD967" s="161">
        <v>21</v>
      </c>
      <c r="AE967" s="161">
        <v>5</v>
      </c>
      <c r="AF967" s="161">
        <v>6</v>
      </c>
      <c r="AG967" s="161">
        <v>8</v>
      </c>
      <c r="AH967" s="145"/>
    </row>
    <row r="968" spans="29:34" x14ac:dyDescent="0.15">
      <c r="AC968" s="159">
        <v>38143</v>
      </c>
      <c r="AD968" s="161">
        <v>21</v>
      </c>
      <c r="AE968" s="161">
        <v>5</v>
      </c>
      <c r="AF968" s="161">
        <v>7</v>
      </c>
      <c r="AG968" s="161">
        <v>7</v>
      </c>
      <c r="AH968" s="145"/>
    </row>
    <row r="969" spans="29:34" x14ac:dyDescent="0.15">
      <c r="AC969" s="159">
        <v>38175</v>
      </c>
      <c r="AD969" s="161">
        <v>21</v>
      </c>
      <c r="AE969" s="161">
        <v>5</v>
      </c>
      <c r="AF969" s="161">
        <v>8</v>
      </c>
      <c r="AG969" s="161">
        <v>6</v>
      </c>
      <c r="AH969" s="145"/>
    </row>
    <row r="970" spans="29:34" x14ac:dyDescent="0.15">
      <c r="AC970" s="159">
        <v>38206</v>
      </c>
      <c r="AD970" s="161">
        <v>21</v>
      </c>
      <c r="AE970" s="161">
        <v>5</v>
      </c>
      <c r="AF970" s="161">
        <v>9</v>
      </c>
      <c r="AG970" s="161">
        <v>5</v>
      </c>
      <c r="AH970" s="145"/>
    </row>
    <row r="971" spans="29:34" x14ac:dyDescent="0.15">
      <c r="AC971" s="159">
        <v>38237</v>
      </c>
      <c r="AD971" s="161">
        <v>21</v>
      </c>
      <c r="AE971" s="161">
        <v>5</v>
      </c>
      <c r="AF971" s="161">
        <v>10</v>
      </c>
      <c r="AG971" s="161">
        <v>4</v>
      </c>
      <c r="AH971" s="145"/>
    </row>
    <row r="972" spans="29:34" x14ac:dyDescent="0.15">
      <c r="AC972" s="159">
        <v>38268</v>
      </c>
      <c r="AD972" s="161">
        <v>21</v>
      </c>
      <c r="AE972" s="161">
        <v>5</v>
      </c>
      <c r="AF972" s="161">
        <v>11</v>
      </c>
      <c r="AG972" s="161">
        <v>3</v>
      </c>
      <c r="AH972" s="145"/>
    </row>
    <row r="973" spans="29:34" x14ac:dyDescent="0.15">
      <c r="AC973" s="159">
        <v>38298</v>
      </c>
      <c r="AD973" s="161">
        <v>21</v>
      </c>
      <c r="AE973" s="161">
        <v>5</v>
      </c>
      <c r="AF973" s="161">
        <v>12</v>
      </c>
      <c r="AG973" s="161">
        <v>2</v>
      </c>
      <c r="AH973" s="145"/>
    </row>
    <row r="974" spans="29:34" x14ac:dyDescent="0.15">
      <c r="AC974" s="159">
        <v>38328</v>
      </c>
      <c r="AD974" s="161">
        <v>21</v>
      </c>
      <c r="AE974" s="161">
        <v>5</v>
      </c>
      <c r="AF974" s="161">
        <v>13</v>
      </c>
      <c r="AG974" s="161">
        <v>1</v>
      </c>
      <c r="AH974" s="145"/>
    </row>
    <row r="975" spans="29:34" x14ac:dyDescent="0.15">
      <c r="AC975" s="159">
        <v>38357</v>
      </c>
      <c r="AD975" s="161">
        <v>21</v>
      </c>
      <c r="AE975" s="161">
        <v>5</v>
      </c>
      <c r="AF975" s="161">
        <v>14</v>
      </c>
      <c r="AG975" s="161">
        <v>9</v>
      </c>
      <c r="AH975" s="145"/>
    </row>
    <row r="976" spans="29:34" x14ac:dyDescent="0.15">
      <c r="AC976" s="159">
        <v>38387</v>
      </c>
      <c r="AD976" s="161">
        <v>22</v>
      </c>
      <c r="AE976" s="161">
        <v>4</v>
      </c>
      <c r="AF976" s="161">
        <v>15</v>
      </c>
      <c r="AG976" s="161">
        <v>8</v>
      </c>
      <c r="AH976" s="145"/>
    </row>
    <row r="977" spans="28:34" x14ac:dyDescent="0.15">
      <c r="AC977" s="159">
        <v>38416</v>
      </c>
      <c r="AD977" s="161">
        <v>22</v>
      </c>
      <c r="AE977" s="161">
        <v>4</v>
      </c>
      <c r="AF977" s="161">
        <v>16</v>
      </c>
      <c r="AG977" s="161">
        <v>7</v>
      </c>
      <c r="AH977" s="145"/>
    </row>
    <row r="978" spans="28:34" x14ac:dyDescent="0.15">
      <c r="AC978" s="159">
        <v>38447</v>
      </c>
      <c r="AD978" s="161">
        <v>22</v>
      </c>
      <c r="AE978" s="161">
        <v>4</v>
      </c>
      <c r="AF978" s="161">
        <v>17</v>
      </c>
      <c r="AG978" s="161">
        <v>6</v>
      </c>
      <c r="AH978" s="145"/>
    </row>
    <row r="979" spans="28:34" x14ac:dyDescent="0.15">
      <c r="AC979" s="159">
        <v>38477</v>
      </c>
      <c r="AD979" s="161">
        <v>22</v>
      </c>
      <c r="AE979" s="161">
        <v>4</v>
      </c>
      <c r="AF979" s="161">
        <v>18</v>
      </c>
      <c r="AG979" s="161">
        <v>5</v>
      </c>
      <c r="AH979" s="145"/>
    </row>
    <row r="980" spans="28:34" x14ac:dyDescent="0.15">
      <c r="AC980" s="159">
        <v>38508</v>
      </c>
      <c r="AD980" s="161">
        <v>22</v>
      </c>
      <c r="AE980" s="161">
        <v>4</v>
      </c>
      <c r="AF980" s="161">
        <v>19</v>
      </c>
      <c r="AG980" s="161">
        <v>4</v>
      </c>
      <c r="AH980" s="145"/>
    </row>
    <row r="981" spans="28:34" x14ac:dyDescent="0.15">
      <c r="AC981" s="159">
        <v>38540</v>
      </c>
      <c r="AD981" s="161">
        <v>22</v>
      </c>
      <c r="AE981" s="161">
        <v>4</v>
      </c>
      <c r="AF981" s="161">
        <v>20</v>
      </c>
      <c r="AG981" s="161">
        <v>3</v>
      </c>
      <c r="AH981" s="145"/>
    </row>
    <row r="982" spans="28:34" x14ac:dyDescent="0.15">
      <c r="AC982" s="159">
        <v>38571</v>
      </c>
      <c r="AD982" s="161">
        <v>22</v>
      </c>
      <c r="AE982" s="161">
        <v>4</v>
      </c>
      <c r="AF982" s="161">
        <v>21</v>
      </c>
      <c r="AG982" s="161">
        <v>2</v>
      </c>
      <c r="AH982" s="145"/>
    </row>
    <row r="983" spans="28:34" x14ac:dyDescent="0.15">
      <c r="AC983" s="159">
        <v>38602</v>
      </c>
      <c r="AD983" s="161">
        <v>22</v>
      </c>
      <c r="AE983" s="161">
        <v>4</v>
      </c>
      <c r="AF983" s="161">
        <v>22</v>
      </c>
      <c r="AG983" s="161">
        <v>1</v>
      </c>
      <c r="AH983" s="145"/>
    </row>
    <row r="984" spans="28:34" x14ac:dyDescent="0.15">
      <c r="AB984">
        <v>8</v>
      </c>
      <c r="AC984" s="159">
        <v>38633</v>
      </c>
      <c r="AD984" s="161">
        <v>22</v>
      </c>
      <c r="AE984" s="161">
        <v>4</v>
      </c>
      <c r="AF984" s="161">
        <v>23</v>
      </c>
      <c r="AG984" s="161">
        <v>9</v>
      </c>
      <c r="AH984" s="145"/>
    </row>
    <row r="985" spans="28:34" x14ac:dyDescent="0.15">
      <c r="AB985">
        <v>9</v>
      </c>
      <c r="AC985" s="159">
        <v>38663</v>
      </c>
      <c r="AD985" s="161">
        <v>22</v>
      </c>
      <c r="AE985" s="161">
        <v>4</v>
      </c>
      <c r="AF985" s="161">
        <v>24</v>
      </c>
      <c r="AG985" s="161">
        <v>8</v>
      </c>
      <c r="AH985" s="145"/>
    </row>
    <row r="986" spans="28:34" x14ac:dyDescent="0.15">
      <c r="AC986" s="159">
        <v>38693</v>
      </c>
      <c r="AD986" s="161">
        <v>22</v>
      </c>
      <c r="AE986" s="161">
        <v>4</v>
      </c>
      <c r="AF986" s="161">
        <v>25</v>
      </c>
      <c r="AG986" s="161">
        <v>7</v>
      </c>
      <c r="AH986" s="145"/>
    </row>
    <row r="987" spans="28:34" x14ac:dyDescent="0.15">
      <c r="AC987" s="159">
        <v>38722</v>
      </c>
      <c r="AD987" s="161">
        <v>22</v>
      </c>
      <c r="AE987" s="161">
        <v>4</v>
      </c>
      <c r="AF987" s="161">
        <v>26</v>
      </c>
      <c r="AG987" s="161">
        <v>6</v>
      </c>
      <c r="AH987" s="145"/>
    </row>
    <row r="988" spans="28:34" x14ac:dyDescent="0.15">
      <c r="AC988" s="159">
        <v>38752</v>
      </c>
      <c r="AD988" s="161">
        <v>23</v>
      </c>
      <c r="AE988" s="161">
        <v>3</v>
      </c>
      <c r="AF988" s="161">
        <v>27</v>
      </c>
      <c r="AG988" s="161">
        <v>5</v>
      </c>
      <c r="AH988" s="145"/>
    </row>
    <row r="989" spans="28:34" x14ac:dyDescent="0.15">
      <c r="AC989" s="159">
        <v>38782</v>
      </c>
      <c r="AD989" s="161">
        <v>23</v>
      </c>
      <c r="AE989" s="161">
        <v>3</v>
      </c>
      <c r="AF989" s="161">
        <v>28</v>
      </c>
      <c r="AG989" s="161">
        <v>4</v>
      </c>
      <c r="AH989" s="145"/>
    </row>
    <row r="990" spans="28:34" x14ac:dyDescent="0.15">
      <c r="AC990" s="159">
        <v>38812</v>
      </c>
      <c r="AD990" s="161">
        <v>23</v>
      </c>
      <c r="AE990" s="161">
        <v>3</v>
      </c>
      <c r="AF990" s="161">
        <v>29</v>
      </c>
      <c r="AG990" s="161">
        <v>3</v>
      </c>
      <c r="AH990" s="145"/>
    </row>
    <row r="991" spans="28:34" x14ac:dyDescent="0.15">
      <c r="AC991" s="159">
        <v>38843</v>
      </c>
      <c r="AD991" s="161">
        <v>23</v>
      </c>
      <c r="AE991" s="161">
        <v>3</v>
      </c>
      <c r="AF991" s="161">
        <v>30</v>
      </c>
      <c r="AG991" s="161">
        <v>2</v>
      </c>
      <c r="AH991" s="145"/>
    </row>
    <row r="992" spans="28:34" x14ac:dyDescent="0.15">
      <c r="AC992" s="159">
        <v>38874</v>
      </c>
      <c r="AD992" s="161">
        <v>23</v>
      </c>
      <c r="AE992" s="161">
        <v>3</v>
      </c>
      <c r="AF992" s="161">
        <v>31</v>
      </c>
      <c r="AG992" s="161">
        <v>1</v>
      </c>
      <c r="AH992" s="145"/>
    </row>
    <row r="993" spans="29:34" x14ac:dyDescent="0.15">
      <c r="AC993" s="159">
        <v>38905</v>
      </c>
      <c r="AD993" s="161">
        <v>23</v>
      </c>
      <c r="AE993" s="161">
        <v>3</v>
      </c>
      <c r="AF993" s="161">
        <v>32</v>
      </c>
      <c r="AG993" s="161">
        <v>9</v>
      </c>
      <c r="AH993" s="145"/>
    </row>
    <row r="994" spans="29:34" x14ac:dyDescent="0.15">
      <c r="AC994" s="159">
        <v>38937</v>
      </c>
      <c r="AD994" s="161">
        <v>23</v>
      </c>
      <c r="AE994" s="161">
        <v>3</v>
      </c>
      <c r="AF994" s="161">
        <v>33</v>
      </c>
      <c r="AG994" s="161">
        <v>8</v>
      </c>
      <c r="AH994" s="145"/>
    </row>
    <row r="995" spans="29:34" x14ac:dyDescent="0.15">
      <c r="AC995" s="159">
        <v>38968</v>
      </c>
      <c r="AD995" s="161">
        <v>23</v>
      </c>
      <c r="AE995" s="161">
        <v>3</v>
      </c>
      <c r="AF995" s="161">
        <v>34</v>
      </c>
      <c r="AG995" s="161">
        <v>7</v>
      </c>
      <c r="AH995" s="145"/>
    </row>
    <row r="996" spans="29:34" x14ac:dyDescent="0.15">
      <c r="AC996" s="159">
        <v>38998</v>
      </c>
      <c r="AD996" s="161">
        <v>23</v>
      </c>
      <c r="AE996" s="161">
        <v>3</v>
      </c>
      <c r="AF996" s="161">
        <v>35</v>
      </c>
      <c r="AG996" s="161">
        <v>6</v>
      </c>
      <c r="AH996" s="145"/>
    </row>
    <row r="997" spans="29:34" x14ac:dyDescent="0.15">
      <c r="AC997" s="159">
        <v>39028</v>
      </c>
      <c r="AD997" s="161">
        <v>23</v>
      </c>
      <c r="AE997" s="161">
        <v>3</v>
      </c>
      <c r="AF997" s="161">
        <v>36</v>
      </c>
      <c r="AG997" s="161">
        <v>5</v>
      </c>
      <c r="AH997" s="145"/>
    </row>
    <row r="998" spans="29:34" x14ac:dyDescent="0.15">
      <c r="AC998" s="159">
        <v>39058</v>
      </c>
      <c r="AD998" s="161">
        <v>23</v>
      </c>
      <c r="AE998" s="161">
        <v>3</v>
      </c>
      <c r="AF998" s="161">
        <v>37</v>
      </c>
      <c r="AG998" s="161">
        <v>4</v>
      </c>
      <c r="AH998" s="145"/>
    </row>
    <row r="999" spans="29:34" x14ac:dyDescent="0.15">
      <c r="AC999" s="159">
        <v>39088</v>
      </c>
      <c r="AD999" s="161">
        <v>23</v>
      </c>
      <c r="AE999" s="161">
        <v>3</v>
      </c>
      <c r="AF999" s="161">
        <v>38</v>
      </c>
      <c r="AG999" s="161">
        <v>3</v>
      </c>
      <c r="AH999" s="145"/>
    </row>
    <row r="1000" spans="29:34" x14ac:dyDescent="0.15">
      <c r="AC1000" s="159">
        <v>39117</v>
      </c>
      <c r="AD1000" s="161">
        <v>24</v>
      </c>
      <c r="AE1000" s="161">
        <v>2</v>
      </c>
      <c r="AF1000" s="161">
        <v>39</v>
      </c>
      <c r="AG1000" s="161">
        <v>2</v>
      </c>
      <c r="AH1000" s="145"/>
    </row>
    <row r="1001" spans="29:34" x14ac:dyDescent="0.15">
      <c r="AC1001" s="159">
        <v>39147</v>
      </c>
      <c r="AD1001" s="161">
        <v>24</v>
      </c>
      <c r="AE1001" s="161">
        <v>2</v>
      </c>
      <c r="AF1001" s="161">
        <v>40</v>
      </c>
      <c r="AG1001" s="161">
        <v>1</v>
      </c>
      <c r="AH1001" s="145"/>
    </row>
    <row r="1002" spans="29:34" x14ac:dyDescent="0.15">
      <c r="AC1002" s="159">
        <v>39177</v>
      </c>
      <c r="AD1002" s="161">
        <v>24</v>
      </c>
      <c r="AE1002" s="161">
        <v>2</v>
      </c>
      <c r="AF1002" s="161">
        <v>41</v>
      </c>
      <c r="AG1002" s="161">
        <v>9</v>
      </c>
      <c r="AH1002" s="145"/>
    </row>
    <row r="1003" spans="29:34" x14ac:dyDescent="0.15">
      <c r="AC1003" s="159">
        <v>39208</v>
      </c>
      <c r="AD1003" s="161">
        <v>24</v>
      </c>
      <c r="AE1003" s="161">
        <v>2</v>
      </c>
      <c r="AF1003" s="161">
        <v>42</v>
      </c>
      <c r="AG1003" s="161">
        <v>8</v>
      </c>
      <c r="AH1003" s="145"/>
    </row>
    <row r="1004" spans="29:34" x14ac:dyDescent="0.15">
      <c r="AC1004" s="159">
        <v>39239</v>
      </c>
      <c r="AD1004" s="161">
        <v>24</v>
      </c>
      <c r="AE1004" s="161">
        <v>2</v>
      </c>
      <c r="AF1004" s="161">
        <v>43</v>
      </c>
      <c r="AG1004" s="161">
        <v>7</v>
      </c>
      <c r="AH1004" s="145"/>
    </row>
    <row r="1005" spans="29:34" x14ac:dyDescent="0.15">
      <c r="AC1005" s="159">
        <v>39270</v>
      </c>
      <c r="AD1005" s="161">
        <v>24</v>
      </c>
      <c r="AE1005" s="161">
        <v>2</v>
      </c>
      <c r="AF1005" s="161">
        <v>44</v>
      </c>
      <c r="AG1005" s="161">
        <v>6</v>
      </c>
      <c r="AH1005" s="145"/>
    </row>
    <row r="1006" spans="29:34" x14ac:dyDescent="0.15">
      <c r="AC1006" s="159">
        <v>39302</v>
      </c>
      <c r="AD1006" s="161">
        <v>24</v>
      </c>
      <c r="AE1006" s="161">
        <v>2</v>
      </c>
      <c r="AF1006" s="161">
        <v>45</v>
      </c>
      <c r="AG1006" s="161">
        <v>5</v>
      </c>
      <c r="AH1006" s="145"/>
    </row>
    <row r="1007" spans="29:34" x14ac:dyDescent="0.15">
      <c r="AC1007" s="159">
        <v>39333</v>
      </c>
      <c r="AD1007" s="161">
        <v>24</v>
      </c>
      <c r="AE1007" s="161">
        <v>2</v>
      </c>
      <c r="AF1007" s="161">
        <v>46</v>
      </c>
      <c r="AG1007" s="161">
        <v>4</v>
      </c>
      <c r="AH1007" s="145"/>
    </row>
    <row r="1008" spans="29:34" x14ac:dyDescent="0.15">
      <c r="AC1008" s="159">
        <v>39364</v>
      </c>
      <c r="AD1008" s="161">
        <v>24</v>
      </c>
      <c r="AE1008" s="161">
        <v>2</v>
      </c>
      <c r="AF1008" s="161">
        <v>47</v>
      </c>
      <c r="AG1008" s="161">
        <v>3</v>
      </c>
      <c r="AH1008" s="145"/>
    </row>
    <row r="1009" spans="28:34" x14ac:dyDescent="0.15">
      <c r="AC1009" s="159">
        <v>39394</v>
      </c>
      <c r="AD1009" s="161">
        <v>24</v>
      </c>
      <c r="AE1009" s="161">
        <v>2</v>
      </c>
      <c r="AF1009" s="161">
        <v>48</v>
      </c>
      <c r="AG1009" s="161">
        <v>2</v>
      </c>
      <c r="AH1009" s="145"/>
    </row>
    <row r="1010" spans="28:34" x14ac:dyDescent="0.15">
      <c r="AC1010" s="159">
        <v>39423</v>
      </c>
      <c r="AD1010" s="161">
        <v>24</v>
      </c>
      <c r="AE1010" s="161">
        <v>2</v>
      </c>
      <c r="AF1010" s="161">
        <v>49</v>
      </c>
      <c r="AG1010" s="161">
        <v>1</v>
      </c>
      <c r="AH1010" s="145"/>
    </row>
    <row r="1011" spans="28:34" x14ac:dyDescent="0.15">
      <c r="AC1011" s="159">
        <v>39453</v>
      </c>
      <c r="AD1011" s="161">
        <v>24</v>
      </c>
      <c r="AE1011" s="161">
        <v>2</v>
      </c>
      <c r="AF1011" s="161">
        <v>50</v>
      </c>
      <c r="AG1011" s="161">
        <v>9</v>
      </c>
      <c r="AH1011" s="145"/>
    </row>
    <row r="1012" spans="28:34" x14ac:dyDescent="0.15">
      <c r="AC1012" s="159">
        <v>39482</v>
      </c>
      <c r="AD1012" s="161">
        <v>25</v>
      </c>
      <c r="AE1012" s="161">
        <v>1</v>
      </c>
      <c r="AF1012" s="161">
        <v>51</v>
      </c>
      <c r="AG1012" s="161">
        <v>8</v>
      </c>
      <c r="AH1012" s="145"/>
    </row>
    <row r="1013" spans="28:34" x14ac:dyDescent="0.15">
      <c r="AC1013" s="159">
        <v>39512</v>
      </c>
      <c r="AD1013" s="161">
        <v>25</v>
      </c>
      <c r="AE1013" s="161">
        <v>1</v>
      </c>
      <c r="AF1013" s="161">
        <v>52</v>
      </c>
      <c r="AG1013" s="161">
        <v>7</v>
      </c>
      <c r="AH1013" s="145"/>
    </row>
    <row r="1014" spans="28:34" x14ac:dyDescent="0.15">
      <c r="AC1014" s="159">
        <v>39542</v>
      </c>
      <c r="AD1014" s="161">
        <v>25</v>
      </c>
      <c r="AE1014" s="161">
        <v>1</v>
      </c>
      <c r="AF1014" s="161">
        <v>53</v>
      </c>
      <c r="AG1014" s="161">
        <v>6</v>
      </c>
      <c r="AH1014" s="145"/>
    </row>
    <row r="1015" spans="28:34" x14ac:dyDescent="0.15">
      <c r="AB1015">
        <v>9</v>
      </c>
      <c r="AC1015" s="159">
        <v>39573</v>
      </c>
      <c r="AD1015" s="161">
        <v>25</v>
      </c>
      <c r="AE1015" s="161">
        <v>1</v>
      </c>
      <c r="AF1015" s="161">
        <v>54</v>
      </c>
      <c r="AG1015" s="161">
        <v>5</v>
      </c>
      <c r="AH1015" s="145"/>
    </row>
    <row r="1016" spans="28:34" x14ac:dyDescent="0.15">
      <c r="AB1016">
        <v>10</v>
      </c>
      <c r="AC1016" s="159">
        <v>39604</v>
      </c>
      <c r="AD1016" s="161">
        <v>25</v>
      </c>
      <c r="AE1016" s="161">
        <v>1</v>
      </c>
      <c r="AF1016" s="161">
        <v>55</v>
      </c>
      <c r="AG1016" s="161">
        <v>4</v>
      </c>
      <c r="AH1016" s="145"/>
    </row>
    <row r="1017" spans="28:34" x14ac:dyDescent="0.15">
      <c r="AC1017" s="159">
        <v>39636</v>
      </c>
      <c r="AD1017" s="161">
        <v>25</v>
      </c>
      <c r="AE1017" s="161">
        <v>1</v>
      </c>
      <c r="AF1017" s="161">
        <v>56</v>
      </c>
      <c r="AG1017" s="161">
        <v>3</v>
      </c>
      <c r="AH1017" s="145"/>
    </row>
    <row r="1018" spans="28:34" x14ac:dyDescent="0.15">
      <c r="AC1018" s="159">
        <v>39667</v>
      </c>
      <c r="AD1018" s="161">
        <v>25</v>
      </c>
      <c r="AE1018" s="161">
        <v>1</v>
      </c>
      <c r="AF1018" s="161">
        <v>57</v>
      </c>
      <c r="AG1018" s="161">
        <v>2</v>
      </c>
      <c r="AH1018" s="145"/>
    </row>
    <row r="1019" spans="28:34" x14ac:dyDescent="0.15">
      <c r="AC1019" s="159">
        <v>39698</v>
      </c>
      <c r="AD1019" s="161">
        <v>25</v>
      </c>
      <c r="AE1019" s="161">
        <v>1</v>
      </c>
      <c r="AF1019" s="161">
        <v>58</v>
      </c>
      <c r="AG1019" s="161">
        <v>1</v>
      </c>
      <c r="AH1019" s="145"/>
    </row>
    <row r="1020" spans="28:34" x14ac:dyDescent="0.15">
      <c r="AC1020" s="159">
        <v>39729</v>
      </c>
      <c r="AD1020" s="161">
        <v>25</v>
      </c>
      <c r="AE1020" s="161">
        <v>1</v>
      </c>
      <c r="AF1020" s="161">
        <v>59</v>
      </c>
      <c r="AG1020" s="161">
        <v>9</v>
      </c>
      <c r="AH1020" s="145"/>
    </row>
    <row r="1021" spans="28:34" x14ac:dyDescent="0.15">
      <c r="AC1021" s="159">
        <v>39759</v>
      </c>
      <c r="AD1021" s="161">
        <v>25</v>
      </c>
      <c r="AE1021" s="161">
        <v>1</v>
      </c>
      <c r="AF1021" s="161">
        <v>60</v>
      </c>
      <c r="AG1021" s="161">
        <v>8</v>
      </c>
      <c r="AH1021" s="145"/>
    </row>
    <row r="1022" spans="28:34" x14ac:dyDescent="0.15">
      <c r="AC1022" s="159">
        <v>39789</v>
      </c>
      <c r="AD1022" s="161">
        <v>25</v>
      </c>
      <c r="AE1022" s="161">
        <v>1</v>
      </c>
      <c r="AF1022" s="161">
        <v>1</v>
      </c>
      <c r="AG1022" s="161">
        <v>7</v>
      </c>
      <c r="AH1022" s="145"/>
    </row>
    <row r="1023" spans="28:34" x14ac:dyDescent="0.15">
      <c r="AC1023" s="159">
        <v>39818</v>
      </c>
      <c r="AD1023" s="161">
        <v>25</v>
      </c>
      <c r="AE1023" s="161">
        <v>1</v>
      </c>
      <c r="AF1023" s="161">
        <v>2</v>
      </c>
      <c r="AG1023" s="161">
        <v>6</v>
      </c>
      <c r="AH1023" s="145"/>
    </row>
    <row r="1024" spans="28:34" x14ac:dyDescent="0.15">
      <c r="AC1024" s="159">
        <v>39848</v>
      </c>
      <c r="AD1024" s="161">
        <v>26</v>
      </c>
      <c r="AE1024" s="161">
        <v>9</v>
      </c>
      <c r="AF1024" s="161">
        <v>3</v>
      </c>
      <c r="AG1024" s="161">
        <v>5</v>
      </c>
      <c r="AH1024" s="145"/>
    </row>
    <row r="1025" spans="29:34" x14ac:dyDescent="0.15">
      <c r="AC1025" s="159">
        <v>39877</v>
      </c>
      <c r="AD1025" s="161">
        <v>26</v>
      </c>
      <c r="AE1025" s="161">
        <v>9</v>
      </c>
      <c r="AF1025" s="161">
        <v>4</v>
      </c>
      <c r="AG1025" s="161">
        <v>4</v>
      </c>
      <c r="AH1025" s="145"/>
    </row>
    <row r="1026" spans="29:34" x14ac:dyDescent="0.15">
      <c r="AC1026" s="159">
        <v>39908</v>
      </c>
      <c r="AD1026" s="161">
        <v>26</v>
      </c>
      <c r="AE1026" s="161">
        <v>9</v>
      </c>
      <c r="AF1026" s="161">
        <v>5</v>
      </c>
      <c r="AG1026" s="161">
        <v>3</v>
      </c>
      <c r="AH1026" s="145"/>
    </row>
    <row r="1027" spans="29:34" x14ac:dyDescent="0.15">
      <c r="AC1027" s="159">
        <v>39938</v>
      </c>
      <c r="AD1027" s="161">
        <v>26</v>
      </c>
      <c r="AE1027" s="161">
        <v>9</v>
      </c>
      <c r="AF1027" s="161">
        <v>6</v>
      </c>
      <c r="AG1027" s="161">
        <v>2</v>
      </c>
      <c r="AH1027" s="145"/>
    </row>
    <row r="1028" spans="29:34" x14ac:dyDescent="0.15">
      <c r="AC1028" s="159">
        <v>39969</v>
      </c>
      <c r="AD1028" s="161">
        <v>26</v>
      </c>
      <c r="AE1028" s="161">
        <v>9</v>
      </c>
      <c r="AF1028" s="161">
        <v>7</v>
      </c>
      <c r="AG1028" s="161">
        <v>1</v>
      </c>
      <c r="AH1028" s="145"/>
    </row>
    <row r="1029" spans="29:34" x14ac:dyDescent="0.15">
      <c r="AC1029" s="159">
        <v>40001</v>
      </c>
      <c r="AD1029" s="161">
        <v>26</v>
      </c>
      <c r="AE1029" s="161">
        <v>9</v>
      </c>
      <c r="AF1029" s="161">
        <v>8</v>
      </c>
      <c r="AG1029" s="161">
        <v>9</v>
      </c>
      <c r="AH1029" s="145"/>
    </row>
    <row r="1030" spans="29:34" x14ac:dyDescent="0.15">
      <c r="AC1030" s="159">
        <v>40032</v>
      </c>
      <c r="AD1030" s="161">
        <v>26</v>
      </c>
      <c r="AE1030" s="161">
        <v>9</v>
      </c>
      <c r="AF1030" s="161">
        <v>9</v>
      </c>
      <c r="AG1030" s="161">
        <v>8</v>
      </c>
      <c r="AH1030" s="145"/>
    </row>
    <row r="1031" spans="29:34" x14ac:dyDescent="0.15">
      <c r="AC1031" s="159">
        <v>40063</v>
      </c>
      <c r="AD1031" s="161">
        <v>26</v>
      </c>
      <c r="AE1031" s="161">
        <v>9</v>
      </c>
      <c r="AF1031" s="161">
        <v>10</v>
      </c>
      <c r="AG1031" s="161">
        <v>7</v>
      </c>
      <c r="AH1031" s="145"/>
    </row>
    <row r="1032" spans="29:34" x14ac:dyDescent="0.15">
      <c r="AC1032" s="159">
        <v>40094</v>
      </c>
      <c r="AD1032" s="161">
        <v>26</v>
      </c>
      <c r="AE1032" s="161">
        <v>9</v>
      </c>
      <c r="AF1032" s="161">
        <v>11</v>
      </c>
      <c r="AG1032" s="161">
        <v>6</v>
      </c>
      <c r="AH1032" s="145"/>
    </row>
    <row r="1033" spans="29:34" x14ac:dyDescent="0.15">
      <c r="AC1033" s="159">
        <v>40124</v>
      </c>
      <c r="AD1033" s="161">
        <v>26</v>
      </c>
      <c r="AE1033" s="161">
        <v>9</v>
      </c>
      <c r="AF1033" s="161">
        <v>12</v>
      </c>
      <c r="AG1033" s="161">
        <v>5</v>
      </c>
      <c r="AH1033" s="145"/>
    </row>
    <row r="1034" spans="29:34" x14ac:dyDescent="0.15">
      <c r="AC1034" s="159">
        <v>40154</v>
      </c>
      <c r="AD1034" s="161">
        <v>26</v>
      </c>
      <c r="AE1034" s="161">
        <v>9</v>
      </c>
      <c r="AF1034" s="161">
        <v>13</v>
      </c>
      <c r="AG1034" s="161">
        <v>4</v>
      </c>
      <c r="AH1034" s="145"/>
    </row>
    <row r="1035" spans="29:34" x14ac:dyDescent="0.15">
      <c r="AC1035" s="159">
        <v>40183</v>
      </c>
      <c r="AD1035" s="161">
        <v>26</v>
      </c>
      <c r="AE1035" s="161">
        <v>9</v>
      </c>
      <c r="AF1035" s="161">
        <v>14</v>
      </c>
      <c r="AG1035" s="161">
        <v>3</v>
      </c>
      <c r="AH1035" s="145"/>
    </row>
    <row r="1036" spans="29:34" x14ac:dyDescent="0.15">
      <c r="AC1036" s="159">
        <v>40213</v>
      </c>
      <c r="AD1036" s="161">
        <v>27</v>
      </c>
      <c r="AE1036" s="161">
        <v>8</v>
      </c>
      <c r="AF1036" s="161">
        <v>15</v>
      </c>
      <c r="AG1036" s="161">
        <v>2</v>
      </c>
      <c r="AH1036" s="145"/>
    </row>
    <row r="1037" spans="29:34" x14ac:dyDescent="0.15">
      <c r="AC1037" s="159">
        <v>40243</v>
      </c>
      <c r="AD1037" s="161">
        <v>27</v>
      </c>
      <c r="AE1037" s="161">
        <v>8</v>
      </c>
      <c r="AF1037" s="161">
        <v>16</v>
      </c>
      <c r="AG1037" s="161">
        <v>1</v>
      </c>
      <c r="AH1037" s="145"/>
    </row>
    <row r="1038" spans="29:34" x14ac:dyDescent="0.15">
      <c r="AC1038" s="159">
        <v>40273</v>
      </c>
      <c r="AD1038" s="161">
        <v>27</v>
      </c>
      <c r="AE1038" s="161">
        <v>8</v>
      </c>
      <c r="AF1038" s="161">
        <v>17</v>
      </c>
      <c r="AG1038" s="161">
        <v>9</v>
      </c>
      <c r="AH1038" s="145"/>
    </row>
    <row r="1039" spans="29:34" x14ac:dyDescent="0.15">
      <c r="AC1039" s="159">
        <v>40303</v>
      </c>
      <c r="AD1039" s="161">
        <v>27</v>
      </c>
      <c r="AE1039" s="161">
        <v>8</v>
      </c>
      <c r="AF1039" s="161">
        <v>18</v>
      </c>
      <c r="AG1039" s="161">
        <v>8</v>
      </c>
      <c r="AH1039" s="145"/>
    </row>
    <row r="1040" spans="29:34" x14ac:dyDescent="0.15">
      <c r="AC1040" s="159">
        <v>40335</v>
      </c>
      <c r="AD1040" s="161">
        <v>27</v>
      </c>
      <c r="AE1040" s="161">
        <v>8</v>
      </c>
      <c r="AF1040" s="161">
        <v>19</v>
      </c>
      <c r="AG1040" s="161">
        <v>7</v>
      </c>
      <c r="AH1040" s="145"/>
    </row>
    <row r="1041" spans="28:34" x14ac:dyDescent="0.15">
      <c r="AC1041" s="159">
        <v>40366</v>
      </c>
      <c r="AD1041" s="161">
        <v>27</v>
      </c>
      <c r="AE1041" s="161">
        <v>8</v>
      </c>
      <c r="AF1041" s="161">
        <v>20</v>
      </c>
      <c r="AG1041" s="161">
        <v>6</v>
      </c>
      <c r="AH1041" s="145"/>
    </row>
    <row r="1042" spans="28:34" x14ac:dyDescent="0.15">
      <c r="AC1042" s="159">
        <v>40397</v>
      </c>
      <c r="AD1042" s="161">
        <v>27</v>
      </c>
      <c r="AE1042" s="161">
        <v>8</v>
      </c>
      <c r="AF1042" s="161">
        <v>21</v>
      </c>
      <c r="AG1042" s="161">
        <v>5</v>
      </c>
      <c r="AH1042" s="145"/>
    </row>
    <row r="1043" spans="28:34" x14ac:dyDescent="0.15">
      <c r="AC1043" s="159">
        <v>40429</v>
      </c>
      <c r="AD1043" s="161">
        <v>27</v>
      </c>
      <c r="AE1043" s="161">
        <v>8</v>
      </c>
      <c r="AF1043" s="161">
        <v>22</v>
      </c>
      <c r="AG1043" s="161">
        <v>4</v>
      </c>
      <c r="AH1043" s="145"/>
    </row>
    <row r="1044" spans="28:34" x14ac:dyDescent="0.15">
      <c r="AC1044" s="159">
        <v>40459</v>
      </c>
      <c r="AD1044" s="161">
        <v>27</v>
      </c>
      <c r="AE1044" s="161">
        <v>8</v>
      </c>
      <c r="AF1044" s="161">
        <v>23</v>
      </c>
      <c r="AG1044" s="161">
        <v>3</v>
      </c>
      <c r="AH1044" s="145"/>
    </row>
    <row r="1045" spans="28:34" x14ac:dyDescent="0.15">
      <c r="AB1045">
        <v>10</v>
      </c>
      <c r="AC1045" s="159">
        <v>40489</v>
      </c>
      <c r="AD1045" s="161">
        <v>27</v>
      </c>
      <c r="AE1045" s="161">
        <v>8</v>
      </c>
      <c r="AF1045" s="161">
        <v>24</v>
      </c>
      <c r="AG1045" s="161">
        <v>2</v>
      </c>
      <c r="AH1045" s="145"/>
    </row>
    <row r="1046" spans="28:34" x14ac:dyDescent="0.15">
      <c r="AB1046">
        <v>11</v>
      </c>
      <c r="AC1046" s="159">
        <v>40519</v>
      </c>
      <c r="AD1046" s="161">
        <v>27</v>
      </c>
      <c r="AE1046" s="161">
        <v>8</v>
      </c>
      <c r="AF1046" s="161">
        <v>25</v>
      </c>
      <c r="AG1046" s="161">
        <v>1</v>
      </c>
      <c r="AH1046" s="145"/>
    </row>
    <row r="1047" spans="28:34" x14ac:dyDescent="0.15">
      <c r="AC1047" s="159">
        <v>40549</v>
      </c>
      <c r="AD1047" s="161">
        <v>27</v>
      </c>
      <c r="AE1047" s="161">
        <v>8</v>
      </c>
      <c r="AF1047" s="161">
        <v>26</v>
      </c>
      <c r="AG1047" s="161">
        <v>9</v>
      </c>
      <c r="AH1047" s="145"/>
    </row>
    <row r="1048" spans="28:34" x14ac:dyDescent="0.15">
      <c r="AC1048" s="159">
        <v>40578</v>
      </c>
      <c r="AD1048" s="161">
        <v>28</v>
      </c>
      <c r="AE1048" s="161">
        <v>7</v>
      </c>
      <c r="AF1048" s="161">
        <v>27</v>
      </c>
      <c r="AG1048" s="161">
        <v>8</v>
      </c>
      <c r="AH1048" s="145"/>
    </row>
    <row r="1049" spans="28:34" x14ac:dyDescent="0.15">
      <c r="AC1049" s="159">
        <v>40608</v>
      </c>
      <c r="AD1049" s="161">
        <v>28</v>
      </c>
      <c r="AE1049" s="161">
        <v>7</v>
      </c>
      <c r="AF1049" s="161">
        <v>28</v>
      </c>
      <c r="AG1049" s="161">
        <v>7</v>
      </c>
      <c r="AH1049" s="145"/>
    </row>
    <row r="1050" spans="28:34" x14ac:dyDescent="0.15">
      <c r="AC1050" s="159">
        <v>40638</v>
      </c>
      <c r="AD1050" s="161">
        <v>28</v>
      </c>
      <c r="AE1050" s="161">
        <v>7</v>
      </c>
      <c r="AF1050" s="161">
        <v>29</v>
      </c>
      <c r="AG1050" s="161">
        <v>6</v>
      </c>
      <c r="AH1050" s="145"/>
    </row>
    <row r="1051" spans="28:34" x14ac:dyDescent="0.15">
      <c r="AC1051" s="159">
        <v>40669</v>
      </c>
      <c r="AD1051" s="161">
        <v>28</v>
      </c>
      <c r="AE1051" s="161">
        <v>7</v>
      </c>
      <c r="AF1051" s="161">
        <v>30</v>
      </c>
      <c r="AG1051" s="161">
        <v>5</v>
      </c>
      <c r="AH1051" s="145"/>
    </row>
    <row r="1052" spans="28:34" x14ac:dyDescent="0.15">
      <c r="AC1052" s="159">
        <v>40700</v>
      </c>
      <c r="AD1052" s="161">
        <v>28</v>
      </c>
      <c r="AE1052" s="161">
        <v>7</v>
      </c>
      <c r="AF1052" s="161">
        <v>31</v>
      </c>
      <c r="AG1052" s="161">
        <v>4</v>
      </c>
      <c r="AH1052" s="145"/>
    </row>
    <row r="1053" spans="28:34" x14ac:dyDescent="0.15">
      <c r="AC1053" s="159">
        <v>40731</v>
      </c>
      <c r="AD1053" s="161">
        <v>28</v>
      </c>
      <c r="AE1053" s="161">
        <v>7</v>
      </c>
      <c r="AF1053" s="161">
        <v>32</v>
      </c>
      <c r="AG1053" s="161">
        <v>3</v>
      </c>
      <c r="AH1053" s="145"/>
    </row>
    <row r="1054" spans="28:34" x14ac:dyDescent="0.15">
      <c r="AC1054" s="159">
        <v>40763</v>
      </c>
      <c r="AD1054" s="161">
        <v>28</v>
      </c>
      <c r="AE1054" s="161">
        <v>7</v>
      </c>
      <c r="AF1054" s="161">
        <v>33</v>
      </c>
      <c r="AG1054" s="161">
        <v>2</v>
      </c>
      <c r="AH1054" s="145"/>
    </row>
    <row r="1055" spans="28:34" x14ac:dyDescent="0.15">
      <c r="AC1055" s="159">
        <v>40794</v>
      </c>
      <c r="AD1055" s="161">
        <v>28</v>
      </c>
      <c r="AE1055" s="161">
        <v>7</v>
      </c>
      <c r="AF1055" s="161">
        <v>34</v>
      </c>
      <c r="AG1055" s="161">
        <v>1</v>
      </c>
      <c r="AH1055" s="145"/>
    </row>
    <row r="1056" spans="28:34" x14ac:dyDescent="0.15">
      <c r="AC1056" s="159">
        <v>40825</v>
      </c>
      <c r="AD1056" s="161">
        <v>28</v>
      </c>
      <c r="AE1056" s="161">
        <v>7</v>
      </c>
      <c r="AF1056" s="161">
        <v>35</v>
      </c>
      <c r="AG1056" s="161">
        <v>9</v>
      </c>
      <c r="AH1056" s="145"/>
    </row>
    <row r="1057" spans="29:34" x14ac:dyDescent="0.15">
      <c r="AC1057" s="159">
        <v>40855</v>
      </c>
      <c r="AD1057" s="161">
        <v>28</v>
      </c>
      <c r="AE1057" s="161">
        <v>7</v>
      </c>
      <c r="AF1057" s="161">
        <v>36</v>
      </c>
      <c r="AG1057" s="161">
        <v>8</v>
      </c>
      <c r="AH1057" s="145"/>
    </row>
    <row r="1058" spans="29:34" x14ac:dyDescent="0.15">
      <c r="AC1058" s="159">
        <v>40884</v>
      </c>
      <c r="AD1058" s="161">
        <v>28</v>
      </c>
      <c r="AE1058" s="161">
        <v>7</v>
      </c>
      <c r="AF1058" s="161">
        <v>37</v>
      </c>
      <c r="AG1058" s="161">
        <v>7</v>
      </c>
      <c r="AH1058" s="145"/>
    </row>
    <row r="1059" spans="29:34" x14ac:dyDescent="0.15">
      <c r="AC1059" s="159">
        <v>40914</v>
      </c>
      <c r="AD1059" s="161">
        <v>28</v>
      </c>
      <c r="AE1059" s="161">
        <v>7</v>
      </c>
      <c r="AF1059" s="161">
        <v>38</v>
      </c>
      <c r="AG1059" s="161">
        <v>6</v>
      </c>
      <c r="AH1059" s="145"/>
    </row>
    <row r="1060" spans="29:34" x14ac:dyDescent="0.15">
      <c r="AC1060" s="159">
        <v>40943</v>
      </c>
      <c r="AD1060" s="161">
        <v>29</v>
      </c>
      <c r="AE1060" s="161">
        <v>6</v>
      </c>
      <c r="AF1060" s="161">
        <v>39</v>
      </c>
      <c r="AG1060" s="161">
        <v>5</v>
      </c>
      <c r="AH1060" s="145"/>
    </row>
    <row r="1061" spans="29:34" x14ac:dyDescent="0.15">
      <c r="AC1061" s="159">
        <v>40973</v>
      </c>
      <c r="AD1061" s="161">
        <v>29</v>
      </c>
      <c r="AE1061" s="161">
        <v>6</v>
      </c>
      <c r="AF1061" s="161">
        <v>40</v>
      </c>
      <c r="AG1061" s="161">
        <v>4</v>
      </c>
      <c r="AH1061" s="145"/>
    </row>
    <row r="1062" spans="29:34" x14ac:dyDescent="0.15">
      <c r="AC1062" s="159">
        <v>41003</v>
      </c>
      <c r="AD1062" s="161">
        <v>29</v>
      </c>
      <c r="AE1062" s="161">
        <v>6</v>
      </c>
      <c r="AF1062" s="161">
        <v>41</v>
      </c>
      <c r="AG1062" s="161">
        <v>3</v>
      </c>
      <c r="AH1062" s="145"/>
    </row>
    <row r="1063" spans="29:34" x14ac:dyDescent="0.15">
      <c r="AC1063" s="159">
        <v>41034</v>
      </c>
      <c r="AD1063" s="161">
        <v>29</v>
      </c>
      <c r="AE1063" s="161">
        <v>6</v>
      </c>
      <c r="AF1063" s="161">
        <v>42</v>
      </c>
      <c r="AG1063" s="161">
        <v>2</v>
      </c>
      <c r="AH1063" s="145"/>
    </row>
    <row r="1064" spans="29:34" x14ac:dyDescent="0.15">
      <c r="AC1064" s="159">
        <v>41065</v>
      </c>
      <c r="AD1064" s="161">
        <v>29</v>
      </c>
      <c r="AE1064" s="161">
        <v>6</v>
      </c>
      <c r="AF1064" s="161">
        <v>43</v>
      </c>
      <c r="AG1064" s="161">
        <v>1</v>
      </c>
      <c r="AH1064" s="145"/>
    </row>
    <row r="1065" spans="29:34" x14ac:dyDescent="0.15">
      <c r="AC1065" s="159">
        <v>41097</v>
      </c>
      <c r="AD1065" s="161">
        <v>29</v>
      </c>
      <c r="AE1065" s="161">
        <v>6</v>
      </c>
      <c r="AF1065" s="161">
        <v>44</v>
      </c>
      <c r="AG1065" s="161">
        <v>9</v>
      </c>
      <c r="AH1065" s="145"/>
    </row>
    <row r="1066" spans="29:34" x14ac:dyDescent="0.15">
      <c r="AC1066" s="159">
        <v>41128</v>
      </c>
      <c r="AD1066" s="161">
        <v>29</v>
      </c>
      <c r="AE1066" s="161">
        <v>6</v>
      </c>
      <c r="AF1066" s="161">
        <v>45</v>
      </c>
      <c r="AG1066" s="161">
        <v>8</v>
      </c>
      <c r="AH1066" s="145"/>
    </row>
    <row r="1067" spans="29:34" x14ac:dyDescent="0.15">
      <c r="AC1067" s="159">
        <v>41159</v>
      </c>
      <c r="AD1067" s="161">
        <v>29</v>
      </c>
      <c r="AE1067" s="161">
        <v>6</v>
      </c>
      <c r="AF1067" s="161">
        <v>46</v>
      </c>
      <c r="AG1067" s="161">
        <v>7</v>
      </c>
      <c r="AH1067" s="145"/>
    </row>
    <row r="1068" spans="29:34" x14ac:dyDescent="0.15">
      <c r="AC1068" s="159">
        <v>41190</v>
      </c>
      <c r="AD1068" s="161">
        <v>29</v>
      </c>
      <c r="AE1068" s="161">
        <v>6</v>
      </c>
      <c r="AF1068" s="161">
        <v>47</v>
      </c>
      <c r="AG1068" s="161">
        <v>6</v>
      </c>
      <c r="AH1068" s="145"/>
    </row>
    <row r="1069" spans="29:34" x14ac:dyDescent="0.15">
      <c r="AC1069" s="159">
        <v>41220</v>
      </c>
      <c r="AD1069" s="161">
        <v>29</v>
      </c>
      <c r="AE1069" s="161">
        <v>6</v>
      </c>
      <c r="AF1069" s="161">
        <v>48</v>
      </c>
      <c r="AG1069" s="161">
        <v>5</v>
      </c>
      <c r="AH1069" s="145"/>
    </row>
    <row r="1070" spans="29:34" x14ac:dyDescent="0.15">
      <c r="AC1070" s="159">
        <v>41250</v>
      </c>
      <c r="AD1070" s="161">
        <v>29</v>
      </c>
      <c r="AE1070" s="161">
        <v>6</v>
      </c>
      <c r="AF1070" s="161">
        <v>49</v>
      </c>
      <c r="AG1070" s="161">
        <v>4</v>
      </c>
      <c r="AH1070" s="145"/>
    </row>
    <row r="1071" spans="29:34" x14ac:dyDescent="0.15">
      <c r="AC1071" s="159">
        <v>41279</v>
      </c>
      <c r="AD1071" s="161">
        <v>29</v>
      </c>
      <c r="AE1071" s="161">
        <v>6</v>
      </c>
      <c r="AF1071" s="161">
        <v>50</v>
      </c>
      <c r="AG1071" s="161">
        <v>3</v>
      </c>
      <c r="AH1071" s="145"/>
    </row>
    <row r="1072" spans="29:34" x14ac:dyDescent="0.15">
      <c r="AC1072" s="159">
        <v>41309</v>
      </c>
      <c r="AD1072" s="161">
        <v>30</v>
      </c>
      <c r="AE1072" s="161">
        <v>5</v>
      </c>
      <c r="AF1072" s="161">
        <v>51</v>
      </c>
      <c r="AG1072" s="161">
        <v>2</v>
      </c>
      <c r="AH1072" s="145"/>
    </row>
    <row r="1073" spans="28:34" x14ac:dyDescent="0.15">
      <c r="AC1073" s="159">
        <v>41338</v>
      </c>
      <c r="AD1073" s="161">
        <v>30</v>
      </c>
      <c r="AE1073" s="161">
        <v>5</v>
      </c>
      <c r="AF1073" s="161">
        <v>52</v>
      </c>
      <c r="AG1073" s="161">
        <v>1</v>
      </c>
      <c r="AH1073" s="145"/>
    </row>
    <row r="1074" spans="28:34" x14ac:dyDescent="0.15">
      <c r="AC1074" s="159">
        <v>41369</v>
      </c>
      <c r="AD1074" s="161">
        <v>30</v>
      </c>
      <c r="AE1074" s="161">
        <v>5</v>
      </c>
      <c r="AF1074" s="161">
        <v>53</v>
      </c>
      <c r="AG1074" s="161">
        <v>9</v>
      </c>
      <c r="AH1074" s="145"/>
    </row>
    <row r="1075" spans="28:34" x14ac:dyDescent="0.15">
      <c r="AB1075">
        <v>11</v>
      </c>
      <c r="AC1075" s="159">
        <v>41399</v>
      </c>
      <c r="AD1075" s="161">
        <v>30</v>
      </c>
      <c r="AE1075" s="161">
        <v>5</v>
      </c>
      <c r="AF1075" s="161">
        <v>54</v>
      </c>
      <c r="AG1075" s="161">
        <v>8</v>
      </c>
      <c r="AH1075" s="145"/>
    </row>
    <row r="1076" spans="28:34" x14ac:dyDescent="0.15">
      <c r="AB1076">
        <v>12</v>
      </c>
      <c r="AC1076" s="159">
        <v>41430</v>
      </c>
      <c r="AD1076" s="161">
        <v>30</v>
      </c>
      <c r="AE1076" s="161">
        <v>5</v>
      </c>
      <c r="AF1076" s="161">
        <v>55</v>
      </c>
      <c r="AG1076" s="161">
        <v>7</v>
      </c>
      <c r="AH1076" s="145"/>
    </row>
    <row r="1077" spans="28:34" x14ac:dyDescent="0.15">
      <c r="AC1077" s="159">
        <v>41462</v>
      </c>
      <c r="AD1077" s="161">
        <v>30</v>
      </c>
      <c r="AE1077" s="161">
        <v>5</v>
      </c>
      <c r="AF1077" s="161">
        <v>56</v>
      </c>
      <c r="AG1077" s="161">
        <v>6</v>
      </c>
      <c r="AH1077" s="145"/>
    </row>
    <row r="1078" spans="28:34" x14ac:dyDescent="0.15">
      <c r="AC1078" s="159">
        <v>41493</v>
      </c>
      <c r="AD1078" s="161">
        <v>30</v>
      </c>
      <c r="AE1078" s="161">
        <v>5</v>
      </c>
      <c r="AF1078" s="161">
        <v>57</v>
      </c>
      <c r="AG1078" s="161">
        <v>5</v>
      </c>
      <c r="AH1078" s="145"/>
    </row>
    <row r="1079" spans="28:34" x14ac:dyDescent="0.15">
      <c r="AC1079" s="159">
        <v>41524</v>
      </c>
      <c r="AD1079" s="161">
        <v>30</v>
      </c>
      <c r="AE1079" s="161">
        <v>5</v>
      </c>
      <c r="AF1079" s="161">
        <v>58</v>
      </c>
      <c r="AG1079" s="161">
        <v>4</v>
      </c>
      <c r="AH1079" s="145"/>
    </row>
    <row r="1080" spans="28:34" x14ac:dyDescent="0.15">
      <c r="AC1080" s="159">
        <v>41555</v>
      </c>
      <c r="AD1080" s="161">
        <v>30</v>
      </c>
      <c r="AE1080" s="161">
        <v>5</v>
      </c>
      <c r="AF1080" s="161">
        <v>59</v>
      </c>
      <c r="AG1080" s="161">
        <v>3</v>
      </c>
      <c r="AH1080" s="145"/>
    </row>
    <row r="1081" spans="28:34" x14ac:dyDescent="0.15">
      <c r="AC1081" s="159">
        <v>41585</v>
      </c>
      <c r="AD1081" s="161">
        <v>30</v>
      </c>
      <c r="AE1081" s="161">
        <v>5</v>
      </c>
      <c r="AF1081" s="161">
        <v>60</v>
      </c>
      <c r="AG1081" s="161">
        <v>2</v>
      </c>
      <c r="AH1081" s="145"/>
    </row>
    <row r="1082" spans="28:34" x14ac:dyDescent="0.15">
      <c r="AC1082" s="159">
        <v>41615</v>
      </c>
      <c r="AD1082" s="161">
        <v>30</v>
      </c>
      <c r="AE1082" s="161">
        <v>5</v>
      </c>
      <c r="AF1082" s="161">
        <v>1</v>
      </c>
      <c r="AG1082" s="161">
        <v>1</v>
      </c>
      <c r="AH1082" s="145"/>
    </row>
    <row r="1083" spans="28:34" x14ac:dyDescent="0.15">
      <c r="AC1083" s="159">
        <v>41644</v>
      </c>
      <c r="AD1083" s="161">
        <v>30</v>
      </c>
      <c r="AE1083" s="161">
        <v>5</v>
      </c>
      <c r="AF1083" s="161">
        <v>2</v>
      </c>
      <c r="AG1083" s="161">
        <v>9</v>
      </c>
      <c r="AH1083" s="145"/>
    </row>
    <row r="1084" spans="28:34" x14ac:dyDescent="0.15">
      <c r="AC1084" s="159">
        <v>41674</v>
      </c>
      <c r="AD1084" s="161">
        <v>31</v>
      </c>
      <c r="AE1084" s="161">
        <v>4</v>
      </c>
      <c r="AF1084" s="161">
        <v>3</v>
      </c>
      <c r="AG1084" s="161">
        <v>8</v>
      </c>
      <c r="AH1084" s="145"/>
    </row>
    <row r="1085" spans="28:34" x14ac:dyDescent="0.15">
      <c r="AC1085" s="159">
        <v>41704</v>
      </c>
      <c r="AD1085" s="161">
        <v>31</v>
      </c>
      <c r="AE1085" s="161">
        <v>4</v>
      </c>
      <c r="AF1085" s="161">
        <v>4</v>
      </c>
      <c r="AG1085" s="161">
        <v>7</v>
      </c>
      <c r="AH1085" s="145"/>
    </row>
    <row r="1086" spans="28:34" x14ac:dyDescent="0.15">
      <c r="AC1086" s="159">
        <v>41734</v>
      </c>
      <c r="AD1086" s="161">
        <v>31</v>
      </c>
      <c r="AE1086" s="161">
        <v>4</v>
      </c>
      <c r="AF1086" s="161">
        <v>5</v>
      </c>
      <c r="AG1086" s="161">
        <v>6</v>
      </c>
      <c r="AH1086" s="145"/>
    </row>
    <row r="1087" spans="28:34" x14ac:dyDescent="0.15">
      <c r="AC1087" s="159">
        <v>41764</v>
      </c>
      <c r="AD1087" s="161">
        <v>31</v>
      </c>
      <c r="AE1087" s="161">
        <v>4</v>
      </c>
      <c r="AF1087" s="161">
        <v>6</v>
      </c>
      <c r="AG1087" s="161">
        <v>5</v>
      </c>
      <c r="AH1087" s="145"/>
    </row>
    <row r="1088" spans="28:34" x14ac:dyDescent="0.15">
      <c r="AC1088" s="159">
        <v>41796</v>
      </c>
      <c r="AD1088" s="161">
        <v>31</v>
      </c>
      <c r="AE1088" s="161">
        <v>4</v>
      </c>
      <c r="AF1088" s="161">
        <v>7</v>
      </c>
      <c r="AG1088" s="161">
        <v>4</v>
      </c>
      <c r="AH1088" s="145"/>
    </row>
    <row r="1089" spans="28:34" x14ac:dyDescent="0.15">
      <c r="AC1089" s="159">
        <v>41827</v>
      </c>
      <c r="AD1089" s="161">
        <v>31</v>
      </c>
      <c r="AE1089" s="161">
        <v>4</v>
      </c>
      <c r="AF1089" s="161">
        <v>8</v>
      </c>
      <c r="AG1089" s="161">
        <v>3</v>
      </c>
      <c r="AH1089" s="145"/>
    </row>
    <row r="1090" spans="28:34" x14ac:dyDescent="0.15">
      <c r="AC1090" s="159">
        <v>41858</v>
      </c>
      <c r="AD1090" s="161">
        <v>31</v>
      </c>
      <c r="AE1090" s="161">
        <v>4</v>
      </c>
      <c r="AF1090" s="161">
        <v>9</v>
      </c>
      <c r="AG1090" s="161">
        <v>2</v>
      </c>
      <c r="AH1090" s="145"/>
    </row>
    <row r="1091" spans="28:34" x14ac:dyDescent="0.15">
      <c r="AC1091" s="159">
        <v>41890</v>
      </c>
      <c r="AD1091" s="161">
        <v>31</v>
      </c>
      <c r="AE1091" s="161">
        <v>4</v>
      </c>
      <c r="AF1091" s="161">
        <v>10</v>
      </c>
      <c r="AG1091" s="161">
        <v>1</v>
      </c>
      <c r="AH1091" s="145"/>
    </row>
    <row r="1092" spans="28:34" x14ac:dyDescent="0.15">
      <c r="AC1092" s="159">
        <v>41920</v>
      </c>
      <c r="AD1092" s="161">
        <v>31</v>
      </c>
      <c r="AE1092" s="161">
        <v>4</v>
      </c>
      <c r="AF1092" s="161">
        <v>11</v>
      </c>
      <c r="AG1092" s="161">
        <v>9</v>
      </c>
      <c r="AH1092" s="145"/>
    </row>
    <row r="1093" spans="28:34" x14ac:dyDescent="0.15">
      <c r="AC1093" s="159">
        <v>41950</v>
      </c>
      <c r="AD1093" s="161">
        <v>31</v>
      </c>
      <c r="AE1093" s="161">
        <v>4</v>
      </c>
      <c r="AF1093" s="161">
        <v>12</v>
      </c>
      <c r="AG1093" s="161">
        <v>8</v>
      </c>
      <c r="AH1093" s="145"/>
    </row>
    <row r="1094" spans="28:34" x14ac:dyDescent="0.15">
      <c r="AC1094" s="159">
        <v>41980</v>
      </c>
      <c r="AD1094" s="161">
        <v>31</v>
      </c>
      <c r="AE1094" s="161">
        <v>4</v>
      </c>
      <c r="AF1094" s="161">
        <v>13</v>
      </c>
      <c r="AG1094" s="161">
        <v>7</v>
      </c>
      <c r="AH1094" s="145"/>
    </row>
    <row r="1095" spans="28:34" x14ac:dyDescent="0.15">
      <c r="AC1095" s="159">
        <v>42010</v>
      </c>
      <c r="AD1095" s="161">
        <v>31</v>
      </c>
      <c r="AE1095" s="161">
        <v>4</v>
      </c>
      <c r="AF1095" s="161">
        <v>14</v>
      </c>
      <c r="AG1095" s="161">
        <v>6</v>
      </c>
      <c r="AH1095" s="145"/>
    </row>
    <row r="1096" spans="28:34" x14ac:dyDescent="0.15">
      <c r="AC1096" s="159">
        <v>42039</v>
      </c>
      <c r="AD1096" s="161">
        <v>32</v>
      </c>
      <c r="AE1096" s="161">
        <v>3</v>
      </c>
      <c r="AF1096" s="161">
        <v>15</v>
      </c>
      <c r="AG1096" s="161">
        <v>5</v>
      </c>
      <c r="AH1096" s="145"/>
    </row>
    <row r="1097" spans="28:34" x14ac:dyDescent="0.15">
      <c r="AC1097" s="159">
        <v>42069</v>
      </c>
      <c r="AD1097" s="161">
        <v>32</v>
      </c>
      <c r="AE1097" s="161">
        <v>3</v>
      </c>
      <c r="AF1097" s="161">
        <v>16</v>
      </c>
      <c r="AG1097" s="161">
        <v>4</v>
      </c>
      <c r="AH1097" s="145"/>
    </row>
    <row r="1098" spans="28:34" x14ac:dyDescent="0.15">
      <c r="AC1098" s="159">
        <v>42099</v>
      </c>
      <c r="AD1098" s="161">
        <v>32</v>
      </c>
      <c r="AE1098" s="161">
        <v>3</v>
      </c>
      <c r="AF1098" s="161">
        <v>17</v>
      </c>
      <c r="AG1098" s="161">
        <v>3</v>
      </c>
      <c r="AH1098" s="145"/>
    </row>
    <row r="1099" spans="28:34" x14ac:dyDescent="0.15">
      <c r="AC1099" s="159">
        <v>42130</v>
      </c>
      <c r="AD1099" s="161">
        <v>32</v>
      </c>
      <c r="AE1099" s="161">
        <v>3</v>
      </c>
      <c r="AF1099" s="161">
        <v>18</v>
      </c>
      <c r="AG1099" s="161">
        <v>2</v>
      </c>
      <c r="AH1099" s="145"/>
    </row>
    <row r="1100" spans="28:34" x14ac:dyDescent="0.15">
      <c r="AC1100" s="159">
        <v>42161</v>
      </c>
      <c r="AD1100" s="161">
        <v>32</v>
      </c>
      <c r="AE1100" s="161">
        <v>3</v>
      </c>
      <c r="AF1100" s="161">
        <v>19</v>
      </c>
      <c r="AG1100" s="161">
        <v>1</v>
      </c>
      <c r="AH1100" s="145"/>
    </row>
    <row r="1101" spans="28:34" x14ac:dyDescent="0.15">
      <c r="AC1101" s="159">
        <v>42192</v>
      </c>
      <c r="AD1101" s="161">
        <v>32</v>
      </c>
      <c r="AE1101" s="161">
        <v>3</v>
      </c>
      <c r="AF1101" s="161">
        <v>20</v>
      </c>
      <c r="AG1101" s="161">
        <v>9</v>
      </c>
      <c r="AH1101" s="145"/>
    </row>
    <row r="1102" spans="28:34" x14ac:dyDescent="0.15">
      <c r="AC1102" s="159">
        <v>42224</v>
      </c>
      <c r="AD1102" s="161">
        <v>32</v>
      </c>
      <c r="AE1102" s="161">
        <v>3</v>
      </c>
      <c r="AF1102" s="161">
        <v>21</v>
      </c>
      <c r="AG1102" s="161">
        <v>8</v>
      </c>
      <c r="AH1102" s="145"/>
    </row>
    <row r="1103" spans="28:34" x14ac:dyDescent="0.15">
      <c r="AC1103" s="159">
        <v>42255</v>
      </c>
      <c r="AD1103" s="161">
        <v>32</v>
      </c>
      <c r="AE1103" s="161">
        <v>3</v>
      </c>
      <c r="AF1103" s="161">
        <v>22</v>
      </c>
      <c r="AG1103" s="161">
        <v>7</v>
      </c>
      <c r="AH1103" s="145"/>
    </row>
    <row r="1104" spans="28:34" x14ac:dyDescent="0.15">
      <c r="AB1104">
        <v>12</v>
      </c>
      <c r="AC1104" s="159">
        <v>42285</v>
      </c>
      <c r="AD1104" s="161">
        <v>32</v>
      </c>
      <c r="AE1104" s="161">
        <v>3</v>
      </c>
      <c r="AF1104" s="161">
        <v>23</v>
      </c>
      <c r="AG1104" s="161">
        <v>6</v>
      </c>
      <c r="AH1104" s="145"/>
    </row>
    <row r="1105" spans="28:34" x14ac:dyDescent="0.15">
      <c r="AB1105">
        <v>1</v>
      </c>
      <c r="AC1105" s="159">
        <v>42316</v>
      </c>
      <c r="AD1105" s="161">
        <v>32</v>
      </c>
      <c r="AE1105" s="161">
        <v>3</v>
      </c>
      <c r="AF1105" s="161">
        <v>24</v>
      </c>
      <c r="AG1105" s="161">
        <v>5</v>
      </c>
      <c r="AH1105" s="145"/>
    </row>
    <row r="1106" spans="28:34" x14ac:dyDescent="0.15">
      <c r="AC1106" s="159">
        <v>42345</v>
      </c>
      <c r="AD1106" s="161">
        <v>32</v>
      </c>
      <c r="AE1106" s="161">
        <v>3</v>
      </c>
      <c r="AF1106" s="161">
        <v>25</v>
      </c>
      <c r="AG1106" s="161">
        <v>4</v>
      </c>
      <c r="AH1106" s="145"/>
    </row>
    <row r="1107" spans="28:34" x14ac:dyDescent="0.15">
      <c r="AC1107" s="159">
        <v>42375</v>
      </c>
      <c r="AD1107" s="161">
        <v>32</v>
      </c>
      <c r="AE1107" s="161">
        <v>3</v>
      </c>
      <c r="AF1107" s="161">
        <v>26</v>
      </c>
      <c r="AG1107" s="161">
        <v>3</v>
      </c>
      <c r="AH1107" s="145"/>
    </row>
    <row r="1108" spans="28:34" x14ac:dyDescent="0.15">
      <c r="AC1108" s="159">
        <v>42404</v>
      </c>
      <c r="AD1108" s="161">
        <v>33</v>
      </c>
      <c r="AE1108" s="161">
        <v>2</v>
      </c>
      <c r="AF1108" s="161">
        <v>27</v>
      </c>
      <c r="AG1108" s="161">
        <v>2</v>
      </c>
      <c r="AH1108" s="145"/>
    </row>
    <row r="1109" spans="28:34" x14ac:dyDescent="0.15">
      <c r="AC1109" s="159">
        <v>42434</v>
      </c>
      <c r="AD1109" s="161">
        <v>33</v>
      </c>
      <c r="AE1109" s="161">
        <v>2</v>
      </c>
      <c r="AF1109" s="161">
        <v>28</v>
      </c>
      <c r="AG1109" s="161">
        <v>1</v>
      </c>
      <c r="AH1109" s="145"/>
    </row>
    <row r="1110" spans="28:34" x14ac:dyDescent="0.15">
      <c r="AC1110" s="159">
        <v>42464</v>
      </c>
      <c r="AD1110" s="161">
        <v>33</v>
      </c>
      <c r="AE1110" s="161">
        <v>2</v>
      </c>
      <c r="AF1110" s="161">
        <v>29</v>
      </c>
      <c r="AG1110" s="161">
        <v>9</v>
      </c>
      <c r="AH1110" s="145"/>
    </row>
    <row r="1111" spans="28:34" x14ac:dyDescent="0.15">
      <c r="AC1111" s="159">
        <v>42495</v>
      </c>
      <c r="AD1111" s="161">
        <v>33</v>
      </c>
      <c r="AE1111" s="161">
        <v>2</v>
      </c>
      <c r="AF1111" s="161">
        <v>30</v>
      </c>
      <c r="AG1111" s="161">
        <v>8</v>
      </c>
      <c r="AH1111" s="145"/>
    </row>
    <row r="1112" spans="28:34" x14ac:dyDescent="0.15">
      <c r="AC1112" s="159">
        <v>42526</v>
      </c>
      <c r="AD1112" s="161">
        <v>33</v>
      </c>
      <c r="AE1112" s="161">
        <v>2</v>
      </c>
      <c r="AF1112" s="161">
        <v>31</v>
      </c>
      <c r="AG1112" s="161">
        <v>7</v>
      </c>
      <c r="AH1112" s="145"/>
    </row>
    <row r="1113" spans="28:34" x14ac:dyDescent="0.15">
      <c r="AC1113" s="159">
        <v>42558</v>
      </c>
      <c r="AD1113" s="161">
        <v>33</v>
      </c>
      <c r="AE1113" s="161">
        <v>2</v>
      </c>
      <c r="AF1113" s="161">
        <v>32</v>
      </c>
      <c r="AG1113" s="161">
        <v>6</v>
      </c>
      <c r="AH1113" s="145"/>
    </row>
    <row r="1114" spans="28:34" x14ac:dyDescent="0.15">
      <c r="AC1114" s="159">
        <v>42589</v>
      </c>
      <c r="AD1114" s="161">
        <v>33</v>
      </c>
      <c r="AE1114" s="161">
        <v>2</v>
      </c>
      <c r="AF1114" s="161">
        <v>33</v>
      </c>
      <c r="AG1114" s="161">
        <v>5</v>
      </c>
      <c r="AH1114" s="145"/>
    </row>
    <row r="1115" spans="28:34" x14ac:dyDescent="0.15">
      <c r="AC1115" s="159">
        <v>42620</v>
      </c>
      <c r="AD1115" s="161">
        <v>33</v>
      </c>
      <c r="AE1115" s="161">
        <v>2</v>
      </c>
      <c r="AF1115" s="161">
        <v>34</v>
      </c>
      <c r="AG1115" s="161">
        <v>4</v>
      </c>
      <c r="AH1115" s="145"/>
    </row>
    <row r="1116" spans="28:34" x14ac:dyDescent="0.15">
      <c r="AC1116" s="159">
        <v>42651</v>
      </c>
      <c r="AD1116" s="161">
        <v>33</v>
      </c>
      <c r="AE1116" s="161">
        <v>2</v>
      </c>
      <c r="AF1116" s="161">
        <v>35</v>
      </c>
      <c r="AG1116" s="161">
        <v>3</v>
      </c>
      <c r="AH1116" s="145"/>
    </row>
    <row r="1117" spans="28:34" x14ac:dyDescent="0.15">
      <c r="AC1117" s="159">
        <v>42681</v>
      </c>
      <c r="AD1117" s="161">
        <v>33</v>
      </c>
      <c r="AE1117" s="161">
        <v>2</v>
      </c>
      <c r="AF1117" s="161">
        <v>36</v>
      </c>
      <c r="AG1117" s="161">
        <v>2</v>
      </c>
      <c r="AH1117" s="145"/>
    </row>
    <row r="1118" spans="28:34" x14ac:dyDescent="0.15">
      <c r="AC1118" s="159">
        <v>42711</v>
      </c>
      <c r="AD1118" s="161">
        <v>33</v>
      </c>
      <c r="AE1118" s="161">
        <v>2</v>
      </c>
      <c r="AF1118" s="161">
        <v>37</v>
      </c>
      <c r="AG1118" s="161">
        <v>1</v>
      </c>
      <c r="AH1118" s="145"/>
    </row>
    <row r="1119" spans="28:34" x14ac:dyDescent="0.15">
      <c r="AC1119" s="159">
        <v>42740</v>
      </c>
      <c r="AD1119" s="161">
        <v>33</v>
      </c>
      <c r="AE1119" s="161">
        <v>2</v>
      </c>
      <c r="AF1119" s="161">
        <v>38</v>
      </c>
      <c r="AG1119" s="161">
        <v>9</v>
      </c>
      <c r="AH1119" s="145"/>
    </row>
    <row r="1120" spans="28:34" x14ac:dyDescent="0.15">
      <c r="AC1120" s="159">
        <v>42770</v>
      </c>
      <c r="AD1120" s="161">
        <v>34</v>
      </c>
      <c r="AE1120" s="161">
        <v>1</v>
      </c>
      <c r="AF1120" s="161">
        <v>39</v>
      </c>
      <c r="AG1120" s="161">
        <v>8</v>
      </c>
      <c r="AH1120" s="145"/>
    </row>
    <row r="1121" spans="26:34" x14ac:dyDescent="0.15">
      <c r="AC1121" s="159">
        <v>42799</v>
      </c>
      <c r="AD1121" s="161">
        <v>34</v>
      </c>
      <c r="AE1121" s="161">
        <v>1</v>
      </c>
      <c r="AF1121" s="161">
        <v>40</v>
      </c>
      <c r="AG1121" s="161">
        <v>7</v>
      </c>
      <c r="AH1121" s="145"/>
    </row>
    <row r="1122" spans="26:34" x14ac:dyDescent="0.15">
      <c r="AC1122" s="159">
        <v>42829</v>
      </c>
      <c r="AD1122" s="161">
        <v>34</v>
      </c>
      <c r="AE1122" s="161">
        <v>1</v>
      </c>
      <c r="AF1122" s="161">
        <v>41</v>
      </c>
      <c r="AG1122" s="161">
        <v>6</v>
      </c>
      <c r="AH1122" s="145"/>
    </row>
    <row r="1123" spans="26:34" x14ac:dyDescent="0.15">
      <c r="AC1123" s="159">
        <v>42860</v>
      </c>
      <c r="AD1123" s="161">
        <v>34</v>
      </c>
      <c r="AE1123" s="161">
        <v>1</v>
      </c>
      <c r="AF1123" s="161">
        <v>42</v>
      </c>
      <c r="AG1123" s="161">
        <v>5</v>
      </c>
      <c r="AH1123" s="145"/>
    </row>
    <row r="1124" spans="26:34" x14ac:dyDescent="0.15">
      <c r="AC1124" s="159">
        <v>42891</v>
      </c>
      <c r="AD1124" s="161">
        <v>34</v>
      </c>
      <c r="AE1124" s="161">
        <v>1</v>
      </c>
      <c r="AF1124" s="161">
        <v>43</v>
      </c>
      <c r="AG1124" s="161">
        <v>4</v>
      </c>
      <c r="AH1124" s="145"/>
    </row>
    <row r="1125" spans="26:34" x14ac:dyDescent="0.15">
      <c r="AC1125" s="159">
        <v>42923</v>
      </c>
      <c r="AD1125" s="161">
        <v>34</v>
      </c>
      <c r="AE1125" s="161">
        <v>1</v>
      </c>
      <c r="AF1125" s="161">
        <v>44</v>
      </c>
      <c r="AG1125" s="161">
        <v>3</v>
      </c>
      <c r="AH1125" s="145"/>
    </row>
    <row r="1126" spans="26:34" x14ac:dyDescent="0.15">
      <c r="AC1126" s="159">
        <v>42954</v>
      </c>
      <c r="AD1126" s="161">
        <v>34</v>
      </c>
      <c r="AE1126" s="161">
        <v>1</v>
      </c>
      <c r="AF1126" s="161">
        <v>45</v>
      </c>
      <c r="AG1126" s="161">
        <v>2</v>
      </c>
      <c r="AH1126" s="145"/>
    </row>
    <row r="1127" spans="26:34" x14ac:dyDescent="0.15">
      <c r="AC1127" s="159">
        <v>42985</v>
      </c>
      <c r="AD1127" s="161">
        <v>34</v>
      </c>
      <c r="AE1127" s="161">
        <v>1</v>
      </c>
      <c r="AF1127" s="161">
        <v>46</v>
      </c>
      <c r="AG1127" s="161">
        <v>1</v>
      </c>
      <c r="AH1127" s="145"/>
    </row>
    <row r="1128" spans="26:34" x14ac:dyDescent="0.15">
      <c r="AC1128" s="159">
        <v>43016</v>
      </c>
      <c r="AD1128" s="161">
        <v>34</v>
      </c>
      <c r="AE1128" s="161">
        <v>1</v>
      </c>
      <c r="AF1128" s="161">
        <v>47</v>
      </c>
      <c r="AG1128" s="161">
        <v>9</v>
      </c>
      <c r="AH1128" s="145"/>
    </row>
    <row r="1129" spans="26:34" x14ac:dyDescent="0.15">
      <c r="AC1129" s="159">
        <v>43046</v>
      </c>
      <c r="AD1129" s="161">
        <v>34</v>
      </c>
      <c r="AE1129" s="161">
        <v>1</v>
      </c>
      <c r="AF1129" s="161">
        <v>48</v>
      </c>
      <c r="AG1129" s="161">
        <v>8</v>
      </c>
      <c r="AH1129" s="145"/>
    </row>
    <row r="1130" spans="26:34" x14ac:dyDescent="0.15">
      <c r="AC1130" s="159">
        <v>43076</v>
      </c>
      <c r="AD1130" s="161">
        <v>34</v>
      </c>
      <c r="AE1130" s="161">
        <v>1</v>
      </c>
      <c r="AF1130" s="161">
        <v>49</v>
      </c>
      <c r="AG1130" s="161">
        <v>7</v>
      </c>
      <c r="AH1130" s="145"/>
    </row>
    <row r="1131" spans="26:34" x14ac:dyDescent="0.15">
      <c r="AC1131" s="159">
        <v>43105</v>
      </c>
      <c r="AD1131" s="161">
        <v>34</v>
      </c>
      <c r="AE1131" s="161">
        <v>1</v>
      </c>
      <c r="AF1131" s="161">
        <v>50</v>
      </c>
      <c r="AG1131" s="161">
        <v>6</v>
      </c>
      <c r="AH1131" s="145"/>
    </row>
    <row r="1132" spans="26:34" x14ac:dyDescent="0.15">
      <c r="AC1132" s="159">
        <v>43135</v>
      </c>
      <c r="AD1132" s="161">
        <v>35</v>
      </c>
      <c r="AE1132" s="161">
        <v>9</v>
      </c>
      <c r="AF1132" s="161">
        <v>51</v>
      </c>
      <c r="AG1132" s="161">
        <v>5</v>
      </c>
      <c r="AH1132" s="145"/>
    </row>
    <row r="1133" spans="26:34" x14ac:dyDescent="0.15">
      <c r="AC1133" s="159">
        <v>43165</v>
      </c>
      <c r="AD1133" s="161">
        <v>35</v>
      </c>
      <c r="AE1133" s="161">
        <v>9</v>
      </c>
      <c r="AF1133" s="161">
        <v>52</v>
      </c>
      <c r="AG1133" s="161">
        <v>4</v>
      </c>
      <c r="AH1133" s="145"/>
    </row>
    <row r="1134" spans="26:34" x14ac:dyDescent="0.15">
      <c r="Z1134">
        <v>2016</v>
      </c>
      <c r="AA1134">
        <v>1</v>
      </c>
      <c r="AC1134" s="159">
        <v>43195</v>
      </c>
      <c r="AD1134" s="161">
        <v>35</v>
      </c>
      <c r="AE1134" s="161">
        <v>9</v>
      </c>
      <c r="AF1134" s="161">
        <v>53</v>
      </c>
      <c r="AG1134" s="161">
        <v>3</v>
      </c>
      <c r="AH1134" s="145"/>
    </row>
    <row r="1135" spans="26:34" x14ac:dyDescent="0.15">
      <c r="Z1135">
        <v>2017</v>
      </c>
      <c r="AA1135">
        <v>2</v>
      </c>
      <c r="AC1135" s="159">
        <v>43225</v>
      </c>
      <c r="AD1135" s="161">
        <v>35</v>
      </c>
      <c r="AE1135" s="161">
        <v>9</v>
      </c>
      <c r="AF1135" s="161">
        <v>54</v>
      </c>
      <c r="AG1135" s="161">
        <v>2</v>
      </c>
      <c r="AH1135" s="145"/>
    </row>
    <row r="1136" spans="26:34" x14ac:dyDescent="0.15">
      <c r="AC1136" s="159">
        <v>43257</v>
      </c>
      <c r="AD1136" s="161">
        <v>35</v>
      </c>
      <c r="AE1136" s="161">
        <v>9</v>
      </c>
      <c r="AF1136" s="161">
        <v>55</v>
      </c>
      <c r="AG1136" s="161">
        <v>1</v>
      </c>
      <c r="AH1136" s="145"/>
    </row>
    <row r="1137" spans="29:34" x14ac:dyDescent="0.15">
      <c r="AC1137" s="159">
        <v>43288</v>
      </c>
      <c r="AD1137" s="161">
        <v>35</v>
      </c>
      <c r="AE1137" s="161">
        <v>9</v>
      </c>
      <c r="AF1137" s="161">
        <v>56</v>
      </c>
      <c r="AG1137" s="161">
        <v>9</v>
      </c>
      <c r="AH1137" s="145"/>
    </row>
    <row r="1138" spans="29:34" x14ac:dyDescent="0.15">
      <c r="AC1138" s="159">
        <v>43319</v>
      </c>
      <c r="AD1138" s="161">
        <v>35</v>
      </c>
      <c r="AE1138" s="161">
        <v>9</v>
      </c>
      <c r="AF1138" s="161">
        <v>57</v>
      </c>
      <c r="AG1138" s="161">
        <v>8</v>
      </c>
      <c r="AH1138" s="145"/>
    </row>
    <row r="1139" spans="29:34" x14ac:dyDescent="0.15">
      <c r="AC1139" s="159">
        <v>43351</v>
      </c>
      <c r="AD1139" s="161">
        <v>35</v>
      </c>
      <c r="AE1139" s="161">
        <v>9</v>
      </c>
      <c r="AF1139" s="161">
        <v>58</v>
      </c>
      <c r="AG1139" s="161">
        <v>7</v>
      </c>
      <c r="AH1139" s="145"/>
    </row>
    <row r="1140" spans="29:34" x14ac:dyDescent="0.15">
      <c r="AC1140" s="159">
        <v>43381</v>
      </c>
      <c r="AD1140" s="161">
        <v>35</v>
      </c>
      <c r="AE1140" s="161">
        <v>9</v>
      </c>
      <c r="AF1140" s="161">
        <v>59</v>
      </c>
      <c r="AG1140" s="161">
        <v>6</v>
      </c>
      <c r="AH1140" s="145"/>
    </row>
    <row r="1141" spans="29:34" x14ac:dyDescent="0.15">
      <c r="AC1141" s="159">
        <v>43411</v>
      </c>
      <c r="AD1141" s="161">
        <v>35</v>
      </c>
      <c r="AE1141" s="161">
        <v>9</v>
      </c>
      <c r="AF1141" s="161">
        <v>60</v>
      </c>
      <c r="AG1141" s="161">
        <v>5</v>
      </c>
      <c r="AH1141" s="145"/>
    </row>
    <row r="1142" spans="29:34" x14ac:dyDescent="0.15">
      <c r="AC1142" s="159">
        <v>43441</v>
      </c>
      <c r="AD1142" s="161">
        <v>35</v>
      </c>
      <c r="AE1142" s="161">
        <v>9</v>
      </c>
      <c r="AF1142" s="161">
        <v>1</v>
      </c>
      <c r="AG1142" s="161">
        <v>4</v>
      </c>
      <c r="AH1142" s="145"/>
    </row>
    <row r="1143" spans="29:34" x14ac:dyDescent="0.15">
      <c r="AC1143" s="159">
        <v>43471</v>
      </c>
      <c r="AD1143" s="161">
        <v>35</v>
      </c>
      <c r="AE1143" s="161">
        <v>9</v>
      </c>
      <c r="AF1143" s="161">
        <v>2</v>
      </c>
      <c r="AG1143" s="161">
        <v>3</v>
      </c>
      <c r="AH1143" s="145"/>
    </row>
    <row r="1144" spans="29:34" x14ac:dyDescent="0.15">
      <c r="AC1144" s="159">
        <v>43500</v>
      </c>
      <c r="AD1144" s="161">
        <v>36</v>
      </c>
      <c r="AE1144" s="161">
        <v>8</v>
      </c>
      <c r="AF1144" s="161">
        <v>3</v>
      </c>
      <c r="AG1144" s="161">
        <v>2</v>
      </c>
      <c r="AH1144" s="145"/>
    </row>
    <row r="1145" spans="29:34" x14ac:dyDescent="0.15">
      <c r="AC1145" s="159">
        <v>43530</v>
      </c>
      <c r="AD1145" s="161">
        <v>36</v>
      </c>
      <c r="AE1145" s="161">
        <v>8</v>
      </c>
      <c r="AF1145" s="161">
        <v>4</v>
      </c>
      <c r="AG1145" s="161">
        <v>1</v>
      </c>
      <c r="AH1145" s="145"/>
    </row>
    <row r="1146" spans="29:34" x14ac:dyDescent="0.15">
      <c r="AC1146" s="159">
        <v>43560</v>
      </c>
      <c r="AD1146" s="161">
        <v>36</v>
      </c>
      <c r="AE1146" s="161">
        <v>8</v>
      </c>
      <c r="AF1146" s="161">
        <v>5</v>
      </c>
      <c r="AG1146" s="161">
        <v>9</v>
      </c>
      <c r="AH1146" s="145"/>
    </row>
    <row r="1147" spans="29:34" x14ac:dyDescent="0.15">
      <c r="AC1147" s="159">
        <v>43591</v>
      </c>
      <c r="AD1147" s="161">
        <v>36</v>
      </c>
      <c r="AE1147" s="161">
        <v>8</v>
      </c>
      <c r="AF1147" s="161">
        <v>6</v>
      </c>
      <c r="AG1147" s="161">
        <v>8</v>
      </c>
      <c r="AH1147" s="145"/>
    </row>
    <row r="1148" spans="29:34" x14ac:dyDescent="0.15">
      <c r="AC1148" s="159">
        <v>43622</v>
      </c>
      <c r="AD1148" s="161">
        <v>36</v>
      </c>
      <c r="AE1148" s="161">
        <v>8</v>
      </c>
      <c r="AF1148" s="161">
        <v>7</v>
      </c>
      <c r="AG1148" s="161">
        <v>7</v>
      </c>
      <c r="AH1148" s="145"/>
    </row>
    <row r="1149" spans="29:34" x14ac:dyDescent="0.15">
      <c r="AC1149" s="159">
        <v>43653</v>
      </c>
      <c r="AD1149" s="161">
        <v>36</v>
      </c>
      <c r="AE1149" s="161">
        <v>8</v>
      </c>
      <c r="AF1149" s="161">
        <v>8</v>
      </c>
      <c r="AG1149" s="161">
        <v>6</v>
      </c>
      <c r="AH1149" s="145"/>
    </row>
    <row r="1150" spans="29:34" x14ac:dyDescent="0.15">
      <c r="AC1150" s="159">
        <v>43685</v>
      </c>
      <c r="AD1150" s="161">
        <v>36</v>
      </c>
      <c r="AE1150" s="161">
        <v>8</v>
      </c>
      <c r="AF1150" s="161">
        <v>9</v>
      </c>
      <c r="AG1150" s="161">
        <v>5</v>
      </c>
      <c r="AH1150" s="145"/>
    </row>
    <row r="1151" spans="29:34" x14ac:dyDescent="0.15">
      <c r="AC1151" s="159">
        <v>43716</v>
      </c>
      <c r="AD1151" s="161">
        <v>36</v>
      </c>
      <c r="AE1151" s="161">
        <v>8</v>
      </c>
      <c r="AF1151" s="161">
        <v>10</v>
      </c>
      <c r="AG1151" s="161">
        <v>4</v>
      </c>
      <c r="AH1151" s="145"/>
    </row>
    <row r="1152" spans="29:34" x14ac:dyDescent="0.15">
      <c r="AC1152" s="159">
        <v>43746</v>
      </c>
      <c r="AD1152" s="161">
        <v>36</v>
      </c>
      <c r="AE1152" s="161">
        <v>8</v>
      </c>
      <c r="AF1152" s="161">
        <v>11</v>
      </c>
      <c r="AG1152" s="161">
        <v>3</v>
      </c>
      <c r="AH1152" s="145"/>
    </row>
    <row r="1153" spans="28:34" x14ac:dyDescent="0.15">
      <c r="AC1153" s="159">
        <v>43777</v>
      </c>
      <c r="AD1153" s="161">
        <v>36</v>
      </c>
      <c r="AE1153" s="161">
        <v>8</v>
      </c>
      <c r="AF1153" s="161">
        <v>12</v>
      </c>
      <c r="AG1153" s="161">
        <v>2</v>
      </c>
      <c r="AH1153" s="145"/>
    </row>
    <row r="1154" spans="28:34" x14ac:dyDescent="0.15">
      <c r="AC1154" s="159">
        <v>43806</v>
      </c>
      <c r="AD1154" s="161">
        <v>36</v>
      </c>
      <c r="AE1154" s="161">
        <v>8</v>
      </c>
      <c r="AF1154" s="161">
        <v>13</v>
      </c>
      <c r="AG1154" s="161">
        <v>1</v>
      </c>
      <c r="AH1154" s="145"/>
    </row>
    <row r="1155" spans="28:34" x14ac:dyDescent="0.15">
      <c r="AC1155" s="159">
        <v>43836</v>
      </c>
      <c r="AD1155" s="161">
        <v>36</v>
      </c>
      <c r="AE1155" s="161">
        <v>8</v>
      </c>
      <c r="AF1155" s="161">
        <v>14</v>
      </c>
      <c r="AG1155" s="161">
        <v>9</v>
      </c>
      <c r="AH1155" s="145"/>
    </row>
    <row r="1156" spans="28:34" x14ac:dyDescent="0.15">
      <c r="AC1156" s="159">
        <v>43865</v>
      </c>
      <c r="AD1156" s="161">
        <v>37</v>
      </c>
      <c r="AE1156" s="161">
        <v>7</v>
      </c>
      <c r="AF1156" s="161">
        <v>15</v>
      </c>
      <c r="AG1156" s="161">
        <v>8</v>
      </c>
      <c r="AH1156" s="145"/>
    </row>
    <row r="1157" spans="28:34" x14ac:dyDescent="0.15">
      <c r="AC1157" s="159">
        <v>43895</v>
      </c>
      <c r="AD1157" s="161">
        <v>37</v>
      </c>
      <c r="AE1157" s="161">
        <v>7</v>
      </c>
      <c r="AF1157" s="161">
        <v>16</v>
      </c>
      <c r="AG1157" s="161">
        <v>7</v>
      </c>
      <c r="AH1157" s="145"/>
    </row>
    <row r="1158" spans="28:34" x14ac:dyDescent="0.15">
      <c r="AC1158" s="159">
        <v>43925</v>
      </c>
      <c r="AD1158" s="161">
        <v>37</v>
      </c>
      <c r="AE1158" s="161">
        <v>7</v>
      </c>
      <c r="AF1158" s="161">
        <v>17</v>
      </c>
      <c r="AG1158" s="161">
        <v>6</v>
      </c>
      <c r="AH1158" s="145"/>
    </row>
    <row r="1159" spans="28:34" x14ac:dyDescent="0.15">
      <c r="AC1159" s="159">
        <v>43956</v>
      </c>
      <c r="AD1159" s="161">
        <v>37</v>
      </c>
      <c r="AE1159" s="161">
        <v>7</v>
      </c>
      <c r="AF1159" s="161">
        <v>18</v>
      </c>
      <c r="AG1159" s="161">
        <v>5</v>
      </c>
      <c r="AH1159" s="145"/>
    </row>
    <row r="1160" spans="28:34" x14ac:dyDescent="0.15">
      <c r="AC1160" s="159">
        <v>43987</v>
      </c>
      <c r="AD1160" s="161">
        <v>37</v>
      </c>
      <c r="AE1160" s="161">
        <v>7</v>
      </c>
      <c r="AF1160" s="161">
        <v>19</v>
      </c>
      <c r="AG1160" s="161">
        <v>4</v>
      </c>
      <c r="AH1160" s="145"/>
    </row>
    <row r="1161" spans="28:34" x14ac:dyDescent="0.15">
      <c r="AC1161" s="159">
        <v>44019</v>
      </c>
      <c r="AD1161" s="161">
        <v>37</v>
      </c>
      <c r="AE1161" s="161">
        <v>7</v>
      </c>
      <c r="AF1161" s="161">
        <v>20</v>
      </c>
      <c r="AG1161" s="161">
        <v>3</v>
      </c>
      <c r="AH1161" s="145"/>
    </row>
    <row r="1162" spans="28:34" x14ac:dyDescent="0.15">
      <c r="AC1162" s="159">
        <v>44050</v>
      </c>
      <c r="AD1162" s="161">
        <v>37</v>
      </c>
      <c r="AE1162" s="161">
        <v>7</v>
      </c>
      <c r="AF1162" s="161">
        <v>21</v>
      </c>
      <c r="AG1162" s="161">
        <v>2</v>
      </c>
      <c r="AH1162" s="145"/>
    </row>
    <row r="1163" spans="28:34" x14ac:dyDescent="0.15">
      <c r="AB1163">
        <v>2</v>
      </c>
      <c r="AC1163" s="159">
        <v>44081</v>
      </c>
      <c r="AD1163" s="161">
        <v>37</v>
      </c>
      <c r="AE1163" s="161">
        <v>7</v>
      </c>
      <c r="AF1163" s="161">
        <v>22</v>
      </c>
      <c r="AG1163" s="161">
        <v>1</v>
      </c>
      <c r="AH1163" s="145"/>
    </row>
    <row r="1164" spans="28:34" x14ac:dyDescent="0.15">
      <c r="AB1164">
        <v>3</v>
      </c>
      <c r="AC1164" s="159">
        <v>44112</v>
      </c>
      <c r="AD1164" s="161">
        <v>37</v>
      </c>
      <c r="AE1164" s="161">
        <v>7</v>
      </c>
      <c r="AF1164" s="161">
        <v>23</v>
      </c>
      <c r="AG1164" s="161">
        <v>9</v>
      </c>
      <c r="AH1164" s="145"/>
    </row>
    <row r="1165" spans="28:34" x14ac:dyDescent="0.15">
      <c r="AC1165" s="159">
        <v>44142</v>
      </c>
      <c r="AD1165" s="161">
        <v>37</v>
      </c>
      <c r="AE1165" s="161">
        <v>7</v>
      </c>
      <c r="AF1165" s="161">
        <v>24</v>
      </c>
      <c r="AG1165" s="161">
        <v>8</v>
      </c>
      <c r="AH1165" s="145"/>
    </row>
    <row r="1166" spans="28:34" x14ac:dyDescent="0.15">
      <c r="AC1166" s="159">
        <v>44172</v>
      </c>
      <c r="AD1166" s="161">
        <v>37</v>
      </c>
      <c r="AE1166" s="161">
        <v>7</v>
      </c>
      <c r="AF1166" s="161">
        <v>25</v>
      </c>
      <c r="AG1166" s="161">
        <v>7</v>
      </c>
      <c r="AH1166" s="145"/>
    </row>
    <row r="1167" spans="28:34" x14ac:dyDescent="0.15">
      <c r="AC1167" s="159">
        <v>44201</v>
      </c>
      <c r="AD1167" s="161">
        <v>37</v>
      </c>
      <c r="AE1167" s="161">
        <v>7</v>
      </c>
      <c r="AF1167" s="161">
        <v>26</v>
      </c>
      <c r="AG1167" s="161">
        <v>6</v>
      </c>
      <c r="AH1167" s="145"/>
    </row>
    <row r="1168" spans="28:34" x14ac:dyDescent="0.15">
      <c r="AC1168" s="159">
        <v>44230</v>
      </c>
      <c r="AD1168" s="161">
        <v>38</v>
      </c>
      <c r="AE1168" s="161">
        <v>6</v>
      </c>
      <c r="AF1168" s="161">
        <v>27</v>
      </c>
      <c r="AG1168" s="161">
        <v>5</v>
      </c>
      <c r="AH1168" s="145"/>
    </row>
    <row r="1169" spans="29:34" x14ac:dyDescent="0.15">
      <c r="AC1169" s="159">
        <v>44260</v>
      </c>
      <c r="AD1169" s="161">
        <v>38</v>
      </c>
      <c r="AE1169" s="161">
        <v>6</v>
      </c>
      <c r="AF1169" s="161">
        <v>28</v>
      </c>
      <c r="AG1169" s="161">
        <v>4</v>
      </c>
      <c r="AH1169" s="145"/>
    </row>
    <row r="1170" spans="29:34" x14ac:dyDescent="0.15">
      <c r="AC1170" s="159">
        <v>44290</v>
      </c>
      <c r="AD1170" s="161">
        <v>38</v>
      </c>
      <c r="AE1170" s="161">
        <v>6</v>
      </c>
      <c r="AF1170" s="161">
        <v>29</v>
      </c>
      <c r="AG1170" s="161">
        <v>3</v>
      </c>
      <c r="AH1170" s="145"/>
    </row>
    <row r="1171" spans="29:34" x14ac:dyDescent="0.15">
      <c r="AC1171" s="159">
        <v>44321</v>
      </c>
      <c r="AD1171" s="161">
        <v>38</v>
      </c>
      <c r="AE1171" s="161">
        <v>6</v>
      </c>
      <c r="AF1171" s="161">
        <v>30</v>
      </c>
      <c r="AG1171" s="161">
        <v>2</v>
      </c>
      <c r="AH1171" s="145"/>
    </row>
    <row r="1172" spans="29:34" x14ac:dyDescent="0.15">
      <c r="AC1172" s="159">
        <v>44352</v>
      </c>
      <c r="AD1172" s="161">
        <v>38</v>
      </c>
      <c r="AE1172" s="161">
        <v>6</v>
      </c>
      <c r="AF1172" s="161">
        <v>31</v>
      </c>
      <c r="AG1172" s="161">
        <v>1</v>
      </c>
      <c r="AH1172" s="145"/>
    </row>
    <row r="1173" spans="29:34" x14ac:dyDescent="0.15">
      <c r="AC1173" s="159">
        <v>44384</v>
      </c>
      <c r="AD1173" s="161">
        <v>38</v>
      </c>
      <c r="AE1173" s="161">
        <v>6</v>
      </c>
      <c r="AF1173" s="161">
        <v>32</v>
      </c>
      <c r="AG1173" s="161">
        <v>9</v>
      </c>
      <c r="AH1173" s="145"/>
    </row>
    <row r="1174" spans="29:34" x14ac:dyDescent="0.15">
      <c r="AC1174" s="159">
        <v>44415</v>
      </c>
      <c r="AD1174" s="161">
        <v>38</v>
      </c>
      <c r="AE1174" s="161">
        <v>6</v>
      </c>
      <c r="AF1174" s="161">
        <v>33</v>
      </c>
      <c r="AG1174" s="161">
        <v>8</v>
      </c>
      <c r="AH1174" s="145"/>
    </row>
    <row r="1175" spans="29:34" x14ac:dyDescent="0.15">
      <c r="AC1175" s="159">
        <v>44446</v>
      </c>
      <c r="AD1175" s="161">
        <v>38</v>
      </c>
      <c r="AE1175" s="161">
        <v>6</v>
      </c>
      <c r="AF1175" s="161">
        <v>34</v>
      </c>
      <c r="AG1175" s="161">
        <v>7</v>
      </c>
      <c r="AH1175" s="145"/>
    </row>
    <row r="1176" spans="29:34" x14ac:dyDescent="0.15">
      <c r="AC1176" s="159">
        <v>44477</v>
      </c>
      <c r="AD1176" s="161">
        <v>38</v>
      </c>
      <c r="AE1176" s="161">
        <v>6</v>
      </c>
      <c r="AF1176" s="161">
        <v>35</v>
      </c>
      <c r="AG1176" s="161">
        <v>6</v>
      </c>
      <c r="AH1176" s="145"/>
    </row>
    <row r="1177" spans="29:34" x14ac:dyDescent="0.15">
      <c r="AC1177" s="159">
        <v>44507</v>
      </c>
      <c r="AD1177" s="161">
        <v>38</v>
      </c>
      <c r="AE1177" s="161">
        <v>6</v>
      </c>
      <c r="AF1177" s="161">
        <v>36</v>
      </c>
      <c r="AG1177" s="161">
        <v>5</v>
      </c>
      <c r="AH1177" s="145"/>
    </row>
    <row r="1178" spans="29:34" x14ac:dyDescent="0.15">
      <c r="AC1178" s="159">
        <v>44537</v>
      </c>
      <c r="AD1178" s="161">
        <v>38</v>
      </c>
      <c r="AE1178" s="161">
        <v>6</v>
      </c>
      <c r="AF1178" s="161">
        <v>37</v>
      </c>
      <c r="AG1178" s="161">
        <v>4</v>
      </c>
      <c r="AH1178" s="145"/>
    </row>
    <row r="1179" spans="29:34" x14ac:dyDescent="0.15">
      <c r="AC1179" s="159">
        <v>44566</v>
      </c>
      <c r="AD1179" s="161">
        <v>38</v>
      </c>
      <c r="AE1179" s="161">
        <v>6</v>
      </c>
      <c r="AF1179" s="161">
        <v>38</v>
      </c>
      <c r="AG1179" s="161">
        <v>3</v>
      </c>
      <c r="AH1179" s="145"/>
    </row>
    <row r="1180" spans="29:34" x14ac:dyDescent="0.15">
      <c r="AC1180" s="159">
        <v>44596</v>
      </c>
      <c r="AD1180" s="161">
        <v>39</v>
      </c>
      <c r="AE1180" s="161">
        <v>5</v>
      </c>
      <c r="AF1180" s="161">
        <v>39</v>
      </c>
      <c r="AG1180" s="161">
        <v>2</v>
      </c>
      <c r="AH1180" s="145"/>
    </row>
    <row r="1181" spans="29:34" x14ac:dyDescent="0.15">
      <c r="AC1181" s="159">
        <v>44625</v>
      </c>
      <c r="AD1181" s="161">
        <v>39</v>
      </c>
      <c r="AE1181" s="161">
        <v>5</v>
      </c>
      <c r="AF1181" s="161">
        <v>40</v>
      </c>
      <c r="AG1181" s="161">
        <v>1</v>
      </c>
      <c r="AH1181" s="145"/>
    </row>
    <row r="1182" spans="29:34" x14ac:dyDescent="0.15">
      <c r="AC1182" s="159">
        <v>44656</v>
      </c>
      <c r="AD1182" s="161">
        <v>39</v>
      </c>
      <c r="AE1182" s="161">
        <v>5</v>
      </c>
      <c r="AF1182" s="161">
        <v>41</v>
      </c>
      <c r="AG1182" s="161">
        <v>9</v>
      </c>
      <c r="AH1182" s="145"/>
    </row>
    <row r="1183" spans="29:34" x14ac:dyDescent="0.15">
      <c r="AC1183" s="159">
        <v>44686</v>
      </c>
      <c r="AD1183" s="161">
        <v>39</v>
      </c>
      <c r="AE1183" s="161">
        <v>5</v>
      </c>
      <c r="AF1183" s="161">
        <v>42</v>
      </c>
      <c r="AG1183" s="161">
        <v>8</v>
      </c>
      <c r="AH1183" s="145"/>
    </row>
    <row r="1184" spans="29:34" x14ac:dyDescent="0.15">
      <c r="AC1184" s="159">
        <v>44718</v>
      </c>
      <c r="AD1184" s="161">
        <v>39</v>
      </c>
      <c r="AE1184" s="161">
        <v>5</v>
      </c>
      <c r="AF1184" s="161">
        <v>43</v>
      </c>
      <c r="AG1184" s="161">
        <v>7</v>
      </c>
      <c r="AH1184" s="145"/>
    </row>
    <row r="1185" spans="28:34" x14ac:dyDescent="0.15">
      <c r="AC1185" s="159">
        <v>44749</v>
      </c>
      <c r="AD1185" s="161">
        <v>39</v>
      </c>
      <c r="AE1185" s="161">
        <v>5</v>
      </c>
      <c r="AF1185" s="161">
        <v>44</v>
      </c>
      <c r="AG1185" s="161">
        <v>6</v>
      </c>
      <c r="AH1185" s="145"/>
    </row>
    <row r="1186" spans="28:34" x14ac:dyDescent="0.15">
      <c r="AC1186" s="159">
        <v>44780</v>
      </c>
      <c r="AD1186" s="161">
        <v>39</v>
      </c>
      <c r="AE1186" s="161">
        <v>5</v>
      </c>
      <c r="AF1186" s="161">
        <v>45</v>
      </c>
      <c r="AG1186" s="161">
        <v>5</v>
      </c>
      <c r="AH1186" s="145"/>
    </row>
    <row r="1187" spans="28:34" x14ac:dyDescent="0.15">
      <c r="AC1187" s="159">
        <v>44812</v>
      </c>
      <c r="AD1187" s="161">
        <v>39</v>
      </c>
      <c r="AE1187" s="161">
        <v>5</v>
      </c>
      <c r="AF1187" s="161">
        <v>46</v>
      </c>
      <c r="AG1187" s="161">
        <v>4</v>
      </c>
      <c r="AH1187" s="145"/>
    </row>
    <row r="1188" spans="28:34" x14ac:dyDescent="0.15">
      <c r="AC1188" s="159">
        <v>44842</v>
      </c>
      <c r="AD1188" s="161">
        <v>39</v>
      </c>
      <c r="AE1188" s="161">
        <v>5</v>
      </c>
      <c r="AF1188" s="161">
        <v>47</v>
      </c>
      <c r="AG1188" s="161">
        <v>3</v>
      </c>
      <c r="AH1188" s="145"/>
    </row>
    <row r="1189" spans="28:34" x14ac:dyDescent="0.15">
      <c r="AC1189" s="159">
        <v>44872</v>
      </c>
      <c r="AD1189" s="161">
        <v>39</v>
      </c>
      <c r="AE1189" s="161">
        <v>5</v>
      </c>
      <c r="AF1189" s="161">
        <v>48</v>
      </c>
      <c r="AG1189" s="161">
        <v>2</v>
      </c>
      <c r="AH1189" s="145"/>
    </row>
    <row r="1190" spans="28:34" x14ac:dyDescent="0.15">
      <c r="AC1190" s="159">
        <v>44902</v>
      </c>
      <c r="AD1190" s="161">
        <v>39</v>
      </c>
      <c r="AE1190" s="161">
        <v>5</v>
      </c>
      <c r="AF1190" s="161">
        <v>49</v>
      </c>
      <c r="AG1190" s="161">
        <v>1</v>
      </c>
      <c r="AH1190" s="145"/>
    </row>
    <row r="1191" spans="28:34" x14ac:dyDescent="0.15">
      <c r="AC1191" s="159">
        <v>44932</v>
      </c>
      <c r="AD1191" s="161">
        <v>39</v>
      </c>
      <c r="AE1191" s="161">
        <v>5</v>
      </c>
      <c r="AF1191" s="161">
        <v>50</v>
      </c>
      <c r="AG1191" s="161">
        <v>9</v>
      </c>
      <c r="AH1191" s="145"/>
    </row>
    <row r="1192" spans="28:34" x14ac:dyDescent="0.15">
      <c r="AC1192" s="159">
        <v>44961</v>
      </c>
      <c r="AD1192" s="161">
        <v>40</v>
      </c>
      <c r="AE1192" s="161">
        <v>4</v>
      </c>
      <c r="AF1192" s="161">
        <v>51</v>
      </c>
      <c r="AG1192" s="161">
        <v>8</v>
      </c>
      <c r="AH1192" s="145"/>
    </row>
    <row r="1193" spans="28:34" x14ac:dyDescent="0.15">
      <c r="AB1193">
        <v>3</v>
      </c>
      <c r="AC1193" s="159">
        <v>44991</v>
      </c>
      <c r="AD1193" s="161">
        <v>40</v>
      </c>
      <c r="AE1193" s="161">
        <v>4</v>
      </c>
      <c r="AF1193" s="161">
        <v>52</v>
      </c>
      <c r="AG1193" s="161">
        <v>7</v>
      </c>
      <c r="AH1193" s="145"/>
    </row>
    <row r="1194" spans="28:34" x14ac:dyDescent="0.15">
      <c r="AB1194">
        <v>4</v>
      </c>
      <c r="AC1194" s="159">
        <v>45021</v>
      </c>
      <c r="AD1194" s="161">
        <v>40</v>
      </c>
      <c r="AE1194" s="161">
        <v>4</v>
      </c>
      <c r="AF1194" s="161">
        <v>53</v>
      </c>
      <c r="AG1194" s="161">
        <v>6</v>
      </c>
      <c r="AH1194" s="145"/>
    </row>
    <row r="1195" spans="28:34" x14ac:dyDescent="0.15">
      <c r="AC1195" s="159">
        <v>45052</v>
      </c>
      <c r="AD1195" s="161">
        <v>40</v>
      </c>
      <c r="AE1195" s="161">
        <v>4</v>
      </c>
      <c r="AF1195" s="161">
        <v>54</v>
      </c>
      <c r="AG1195" s="161">
        <v>5</v>
      </c>
      <c r="AH1195" s="145"/>
    </row>
    <row r="1196" spans="28:34" x14ac:dyDescent="0.15">
      <c r="AC1196" s="159">
        <v>45083</v>
      </c>
      <c r="AD1196" s="161">
        <v>40</v>
      </c>
      <c r="AE1196" s="161">
        <v>4</v>
      </c>
      <c r="AF1196" s="161">
        <v>55</v>
      </c>
      <c r="AG1196" s="161">
        <v>4</v>
      </c>
      <c r="AH1196" s="145"/>
    </row>
    <row r="1197" spans="28:34" x14ac:dyDescent="0.15">
      <c r="AC1197" s="159">
        <v>45114</v>
      </c>
      <c r="AD1197" s="161">
        <v>40</v>
      </c>
      <c r="AE1197" s="161">
        <v>4</v>
      </c>
      <c r="AF1197" s="161">
        <v>56</v>
      </c>
      <c r="AG1197" s="161">
        <v>3</v>
      </c>
      <c r="AH1197" s="145"/>
    </row>
    <row r="1198" spans="28:34" x14ac:dyDescent="0.15">
      <c r="AC1198" s="159">
        <v>45146</v>
      </c>
      <c r="AD1198" s="161">
        <v>40</v>
      </c>
      <c r="AE1198" s="161">
        <v>4</v>
      </c>
      <c r="AF1198" s="161">
        <v>57</v>
      </c>
      <c r="AG1198" s="161">
        <v>2</v>
      </c>
      <c r="AH1198" s="145"/>
    </row>
    <row r="1199" spans="28:34" x14ac:dyDescent="0.15">
      <c r="AC1199" s="159">
        <v>45177</v>
      </c>
      <c r="AD1199" s="161">
        <v>40</v>
      </c>
      <c r="AE1199" s="161">
        <v>4</v>
      </c>
      <c r="AF1199" s="161">
        <v>58</v>
      </c>
      <c r="AG1199" s="161">
        <v>1</v>
      </c>
      <c r="AH1199" s="145"/>
    </row>
    <row r="1200" spans="28:34" x14ac:dyDescent="0.15">
      <c r="AC1200" s="159">
        <v>45207</v>
      </c>
      <c r="AD1200" s="161">
        <v>40</v>
      </c>
      <c r="AE1200" s="161">
        <v>4</v>
      </c>
      <c r="AF1200" s="161">
        <v>59</v>
      </c>
      <c r="AG1200" s="161">
        <v>9</v>
      </c>
      <c r="AH1200" s="145"/>
    </row>
    <row r="1201" spans="29:34" x14ac:dyDescent="0.15">
      <c r="AC1201" s="159">
        <v>45238</v>
      </c>
      <c r="AD1201" s="161">
        <v>40</v>
      </c>
      <c r="AE1201" s="161">
        <v>4</v>
      </c>
      <c r="AF1201" s="161">
        <v>60</v>
      </c>
      <c r="AG1201" s="161">
        <v>8</v>
      </c>
      <c r="AH1201" s="145"/>
    </row>
    <row r="1202" spans="29:34" x14ac:dyDescent="0.15">
      <c r="AC1202" s="159">
        <v>45267</v>
      </c>
      <c r="AD1202" s="161">
        <v>40</v>
      </c>
      <c r="AE1202" s="161">
        <v>4</v>
      </c>
      <c r="AF1202" s="161">
        <v>1</v>
      </c>
      <c r="AG1202" s="161">
        <v>7</v>
      </c>
      <c r="AH1202" s="145"/>
    </row>
    <row r="1203" spans="29:34" x14ac:dyDescent="0.15">
      <c r="AC1203" s="159">
        <v>45297</v>
      </c>
      <c r="AD1203" s="161">
        <v>40</v>
      </c>
      <c r="AE1203" s="161">
        <v>4</v>
      </c>
      <c r="AF1203" s="161">
        <v>2</v>
      </c>
      <c r="AG1203" s="161">
        <v>6</v>
      </c>
      <c r="AH1203" s="145"/>
    </row>
    <row r="1204" spans="29:34" x14ac:dyDescent="0.15">
      <c r="AC1204" s="159">
        <v>45326</v>
      </c>
      <c r="AD1204" s="161">
        <v>41</v>
      </c>
      <c r="AE1204" s="161">
        <v>3</v>
      </c>
      <c r="AF1204" s="161">
        <v>3</v>
      </c>
      <c r="AG1204" s="161">
        <v>5</v>
      </c>
      <c r="AH1204" s="145"/>
    </row>
    <row r="1205" spans="29:34" x14ac:dyDescent="0.15">
      <c r="AC1205" s="159">
        <v>45356</v>
      </c>
      <c r="AD1205" s="161">
        <v>41</v>
      </c>
      <c r="AE1205" s="161">
        <v>3</v>
      </c>
      <c r="AF1205" s="161">
        <v>4</v>
      </c>
      <c r="AG1205" s="161">
        <v>4</v>
      </c>
      <c r="AH1205" s="145"/>
    </row>
    <row r="1206" spans="29:34" x14ac:dyDescent="0.15">
      <c r="AC1206" s="159">
        <v>45386</v>
      </c>
      <c r="AD1206" s="161">
        <v>41</v>
      </c>
      <c r="AE1206" s="161">
        <v>3</v>
      </c>
      <c r="AF1206" s="161">
        <v>5</v>
      </c>
      <c r="AG1206" s="161">
        <v>3</v>
      </c>
      <c r="AH1206" s="145"/>
    </row>
    <row r="1207" spans="29:34" x14ac:dyDescent="0.15">
      <c r="AC1207" s="159">
        <v>45417</v>
      </c>
      <c r="AD1207" s="161">
        <v>41</v>
      </c>
      <c r="AE1207" s="161">
        <v>3</v>
      </c>
      <c r="AF1207" s="161">
        <v>6</v>
      </c>
      <c r="AG1207" s="161">
        <v>2</v>
      </c>
      <c r="AH1207" s="145"/>
    </row>
    <row r="1208" spans="29:34" x14ac:dyDescent="0.15">
      <c r="AC1208" s="159">
        <v>45448</v>
      </c>
      <c r="AD1208" s="161">
        <v>41</v>
      </c>
      <c r="AE1208" s="161">
        <v>3</v>
      </c>
      <c r="AF1208" s="161">
        <v>7</v>
      </c>
      <c r="AG1208" s="161">
        <v>1</v>
      </c>
      <c r="AH1208" s="145"/>
    </row>
    <row r="1209" spans="29:34" x14ac:dyDescent="0.15">
      <c r="AC1209" s="159">
        <v>45479</v>
      </c>
      <c r="AD1209" s="161">
        <v>41</v>
      </c>
      <c r="AE1209" s="161">
        <v>3</v>
      </c>
      <c r="AF1209" s="161">
        <v>8</v>
      </c>
      <c r="AG1209" s="161">
        <v>9</v>
      </c>
      <c r="AH1209" s="145"/>
    </row>
    <row r="1210" spans="29:34" x14ac:dyDescent="0.15">
      <c r="AC1210" s="159">
        <v>45511</v>
      </c>
      <c r="AD1210" s="161">
        <v>41</v>
      </c>
      <c r="AE1210" s="161">
        <v>3</v>
      </c>
      <c r="AF1210" s="161">
        <v>9</v>
      </c>
      <c r="AG1210" s="161">
        <v>8</v>
      </c>
      <c r="AH1210" s="145"/>
    </row>
    <row r="1211" spans="29:34" x14ac:dyDescent="0.15">
      <c r="AC1211" s="159">
        <v>45542</v>
      </c>
      <c r="AD1211" s="161">
        <v>41</v>
      </c>
      <c r="AE1211" s="161">
        <v>3</v>
      </c>
      <c r="AF1211" s="161">
        <v>10</v>
      </c>
      <c r="AG1211" s="161">
        <v>7</v>
      </c>
      <c r="AH1211" s="145"/>
    </row>
    <row r="1212" spans="29:34" x14ac:dyDescent="0.15">
      <c r="AC1212" s="159">
        <v>45573</v>
      </c>
      <c r="AD1212" s="161">
        <v>41</v>
      </c>
      <c r="AE1212" s="161">
        <v>3</v>
      </c>
      <c r="AF1212" s="161">
        <v>11</v>
      </c>
      <c r="AG1212" s="161">
        <v>6</v>
      </c>
      <c r="AH1212" s="145"/>
    </row>
    <row r="1213" spans="29:34" x14ac:dyDescent="0.15">
      <c r="AC1213" s="159">
        <v>45603</v>
      </c>
      <c r="AD1213" s="161">
        <v>41</v>
      </c>
      <c r="AE1213" s="161">
        <v>3</v>
      </c>
      <c r="AF1213" s="161">
        <v>12</v>
      </c>
      <c r="AG1213" s="161">
        <v>5</v>
      </c>
      <c r="AH1213" s="145"/>
    </row>
    <row r="1214" spans="29:34" x14ac:dyDescent="0.15">
      <c r="AC1214" s="159">
        <v>45633</v>
      </c>
      <c r="AD1214" s="161">
        <v>41</v>
      </c>
      <c r="AE1214" s="161">
        <v>3</v>
      </c>
      <c r="AF1214" s="161">
        <v>13</v>
      </c>
      <c r="AG1214" s="161">
        <v>4</v>
      </c>
      <c r="AH1214" s="145"/>
    </row>
    <row r="1215" spans="29:34" x14ac:dyDescent="0.15">
      <c r="AC1215" s="159">
        <v>45662</v>
      </c>
      <c r="AD1215" s="161">
        <v>41</v>
      </c>
      <c r="AE1215" s="161">
        <v>3</v>
      </c>
      <c r="AF1215" s="161">
        <v>14</v>
      </c>
      <c r="AG1215" s="161">
        <v>3</v>
      </c>
      <c r="AH1215" s="145"/>
    </row>
    <row r="1216" spans="29:34" x14ac:dyDescent="0.15">
      <c r="AC1216" s="159">
        <v>45691</v>
      </c>
      <c r="AD1216" s="161">
        <v>42</v>
      </c>
      <c r="AE1216" s="161">
        <v>2</v>
      </c>
      <c r="AF1216" s="161">
        <v>15</v>
      </c>
      <c r="AG1216" s="161">
        <v>2</v>
      </c>
      <c r="AH1216" s="145"/>
    </row>
    <row r="1217" spans="28:34" x14ac:dyDescent="0.15">
      <c r="AC1217" s="159">
        <v>45721</v>
      </c>
      <c r="AD1217" s="161">
        <v>42</v>
      </c>
      <c r="AE1217" s="161">
        <v>2</v>
      </c>
      <c r="AF1217" s="161">
        <v>16</v>
      </c>
      <c r="AG1217" s="161">
        <v>1</v>
      </c>
      <c r="AH1217" s="145"/>
    </row>
    <row r="1218" spans="28:34" x14ac:dyDescent="0.15">
      <c r="AC1218" s="159">
        <v>45751</v>
      </c>
      <c r="AD1218" s="161">
        <v>42</v>
      </c>
      <c r="AE1218" s="161">
        <v>2</v>
      </c>
      <c r="AF1218" s="161">
        <v>17</v>
      </c>
      <c r="AG1218" s="161">
        <v>9</v>
      </c>
      <c r="AH1218" s="145"/>
    </row>
    <row r="1219" spans="28:34" x14ac:dyDescent="0.15">
      <c r="AC1219" s="159">
        <v>45782</v>
      </c>
      <c r="AD1219" s="161">
        <v>42</v>
      </c>
      <c r="AE1219" s="161">
        <v>2</v>
      </c>
      <c r="AF1219" s="161">
        <v>18</v>
      </c>
      <c r="AG1219" s="161">
        <v>8</v>
      </c>
      <c r="AH1219" s="145"/>
    </row>
    <row r="1220" spans="28:34" x14ac:dyDescent="0.15">
      <c r="AC1220" s="159">
        <v>45813</v>
      </c>
      <c r="AD1220" s="161">
        <v>42</v>
      </c>
      <c r="AE1220" s="161">
        <v>2</v>
      </c>
      <c r="AF1220" s="161">
        <v>19</v>
      </c>
      <c r="AG1220" s="161">
        <v>7</v>
      </c>
      <c r="AH1220" s="145"/>
    </row>
    <row r="1221" spans="28:34" x14ac:dyDescent="0.15">
      <c r="AC1221" s="159">
        <v>45845</v>
      </c>
      <c r="AD1221" s="161">
        <v>42</v>
      </c>
      <c r="AE1221" s="161">
        <v>2</v>
      </c>
      <c r="AF1221" s="161">
        <v>20</v>
      </c>
      <c r="AG1221" s="161">
        <v>6</v>
      </c>
      <c r="AH1221" s="145"/>
    </row>
    <row r="1222" spans="28:34" x14ac:dyDescent="0.15">
      <c r="AC1222" s="159">
        <v>45876</v>
      </c>
      <c r="AD1222" s="161">
        <v>42</v>
      </c>
      <c r="AE1222" s="161">
        <v>2</v>
      </c>
      <c r="AF1222" s="161">
        <v>21</v>
      </c>
      <c r="AG1222" s="161">
        <v>5</v>
      </c>
      <c r="AH1222" s="145"/>
    </row>
    <row r="1223" spans="28:34" x14ac:dyDescent="0.15">
      <c r="AC1223" s="159">
        <v>45907</v>
      </c>
      <c r="AD1223" s="161">
        <v>42</v>
      </c>
      <c r="AE1223" s="161">
        <v>2</v>
      </c>
      <c r="AF1223" s="161">
        <v>22</v>
      </c>
      <c r="AG1223" s="161">
        <v>4</v>
      </c>
      <c r="AH1223" s="145"/>
    </row>
    <row r="1224" spans="28:34" x14ac:dyDescent="0.15">
      <c r="AB1224">
        <v>4</v>
      </c>
      <c r="AC1224" s="159">
        <v>45938</v>
      </c>
      <c r="AD1224" s="161">
        <v>42</v>
      </c>
      <c r="AE1224" s="161">
        <v>2</v>
      </c>
      <c r="AF1224" s="161">
        <v>23</v>
      </c>
      <c r="AG1224" s="161">
        <v>3</v>
      </c>
      <c r="AH1224" s="145"/>
    </row>
    <row r="1225" spans="28:34" x14ac:dyDescent="0.15">
      <c r="AB1225">
        <v>5</v>
      </c>
      <c r="AC1225" s="159">
        <v>45968</v>
      </c>
      <c r="AD1225" s="161">
        <v>42</v>
      </c>
      <c r="AE1225" s="161">
        <v>2</v>
      </c>
      <c r="AF1225" s="161">
        <v>24</v>
      </c>
      <c r="AG1225" s="161">
        <v>2</v>
      </c>
      <c r="AH1225" s="145"/>
    </row>
    <row r="1226" spans="28:34" x14ac:dyDescent="0.15">
      <c r="AC1226" s="159">
        <v>45998</v>
      </c>
      <c r="AD1226" s="161">
        <v>42</v>
      </c>
      <c r="AE1226" s="161">
        <v>2</v>
      </c>
      <c r="AF1226" s="161">
        <v>25</v>
      </c>
      <c r="AG1226" s="161">
        <v>1</v>
      </c>
      <c r="AH1226" s="145"/>
    </row>
    <row r="1227" spans="28:34" x14ac:dyDescent="0.15">
      <c r="AC1227" s="159">
        <v>46027</v>
      </c>
      <c r="AD1227" s="161">
        <v>42</v>
      </c>
      <c r="AE1227" s="161">
        <v>2</v>
      </c>
      <c r="AF1227" s="161">
        <v>26</v>
      </c>
      <c r="AG1227" s="161">
        <v>9</v>
      </c>
      <c r="AH1227" s="145"/>
    </row>
    <row r="1228" spans="28:34" x14ac:dyDescent="0.15">
      <c r="AC1228" s="159">
        <v>46057</v>
      </c>
      <c r="AD1228" s="161">
        <v>43</v>
      </c>
      <c r="AE1228" s="161">
        <v>1</v>
      </c>
      <c r="AF1228" s="161">
        <v>27</v>
      </c>
      <c r="AG1228" s="161">
        <v>8</v>
      </c>
      <c r="AH1228" s="145"/>
    </row>
    <row r="1229" spans="28:34" x14ac:dyDescent="0.15">
      <c r="AC1229" s="159">
        <v>46086</v>
      </c>
      <c r="AD1229" s="161">
        <v>43</v>
      </c>
      <c r="AE1229" s="161">
        <v>1</v>
      </c>
      <c r="AF1229" s="161">
        <v>28</v>
      </c>
      <c r="AG1229" s="161">
        <v>7</v>
      </c>
      <c r="AH1229" s="145"/>
    </row>
    <row r="1230" spans="28:34" x14ac:dyDescent="0.15">
      <c r="AC1230" s="159">
        <v>46117</v>
      </c>
      <c r="AD1230" s="161">
        <v>43</v>
      </c>
      <c r="AE1230" s="161">
        <v>1</v>
      </c>
      <c r="AF1230" s="161">
        <v>29</v>
      </c>
      <c r="AG1230" s="161">
        <v>6</v>
      </c>
      <c r="AH1230" s="145"/>
    </row>
    <row r="1231" spans="28:34" x14ac:dyDescent="0.15">
      <c r="AC1231" s="159">
        <v>46147</v>
      </c>
      <c r="AD1231" s="161">
        <v>43</v>
      </c>
      <c r="AE1231" s="161">
        <v>1</v>
      </c>
      <c r="AF1231" s="161">
        <v>30</v>
      </c>
      <c r="AG1231" s="161">
        <v>5</v>
      </c>
      <c r="AH1231" s="145"/>
    </row>
    <row r="1232" spans="28:34" x14ac:dyDescent="0.15">
      <c r="AC1232" s="159">
        <v>46179</v>
      </c>
      <c r="AD1232" s="161">
        <v>43</v>
      </c>
      <c r="AE1232" s="161">
        <v>1</v>
      </c>
      <c r="AF1232" s="161">
        <v>31</v>
      </c>
      <c r="AG1232" s="161">
        <v>4</v>
      </c>
      <c r="AH1232" s="145"/>
    </row>
    <row r="1233" spans="29:34" x14ac:dyDescent="0.15">
      <c r="AC1233" s="159">
        <v>46210</v>
      </c>
      <c r="AD1233" s="161">
        <v>43</v>
      </c>
      <c r="AE1233" s="161">
        <v>1</v>
      </c>
      <c r="AF1233" s="161">
        <v>32</v>
      </c>
      <c r="AG1233" s="161">
        <v>3</v>
      </c>
      <c r="AH1233" s="145"/>
    </row>
    <row r="1234" spans="29:34" x14ac:dyDescent="0.15">
      <c r="AC1234" s="159">
        <v>46241</v>
      </c>
      <c r="AD1234" s="161">
        <v>43</v>
      </c>
      <c r="AE1234" s="161">
        <v>1</v>
      </c>
      <c r="AF1234" s="161">
        <v>33</v>
      </c>
      <c r="AG1234" s="161">
        <v>2</v>
      </c>
      <c r="AH1234" s="145"/>
    </row>
    <row r="1235" spans="29:34" x14ac:dyDescent="0.15">
      <c r="AC1235" s="159">
        <v>46272</v>
      </c>
      <c r="AD1235" s="161">
        <v>43</v>
      </c>
      <c r="AE1235" s="161">
        <v>1</v>
      </c>
      <c r="AF1235" s="161">
        <v>34</v>
      </c>
      <c r="AG1235" s="161">
        <v>1</v>
      </c>
      <c r="AH1235" s="145"/>
    </row>
    <row r="1236" spans="29:34" x14ac:dyDescent="0.15">
      <c r="AC1236" s="159">
        <v>46303</v>
      </c>
      <c r="AD1236" s="161">
        <v>43</v>
      </c>
      <c r="AE1236" s="161">
        <v>1</v>
      </c>
      <c r="AF1236" s="161">
        <v>35</v>
      </c>
      <c r="AG1236" s="161">
        <v>9</v>
      </c>
      <c r="AH1236" s="145"/>
    </row>
    <row r="1237" spans="29:34" x14ac:dyDescent="0.15">
      <c r="AC1237" s="159">
        <v>46333</v>
      </c>
      <c r="AD1237" s="161">
        <v>43</v>
      </c>
      <c r="AE1237" s="161">
        <v>1</v>
      </c>
      <c r="AF1237" s="161">
        <v>36</v>
      </c>
      <c r="AG1237" s="161">
        <v>8</v>
      </c>
      <c r="AH1237" s="145"/>
    </row>
    <row r="1238" spans="29:34" x14ac:dyDescent="0.15">
      <c r="AC1238" s="159">
        <v>46363</v>
      </c>
      <c r="AD1238" s="161">
        <v>43</v>
      </c>
      <c r="AE1238" s="161">
        <v>1</v>
      </c>
      <c r="AF1238" s="161">
        <v>37</v>
      </c>
      <c r="AG1238" s="161">
        <v>7</v>
      </c>
      <c r="AH1238" s="145"/>
    </row>
    <row r="1239" spans="29:34" x14ac:dyDescent="0.15">
      <c r="AC1239" s="159">
        <v>46392</v>
      </c>
      <c r="AD1239" s="161">
        <v>43</v>
      </c>
      <c r="AE1239" s="161">
        <v>1</v>
      </c>
      <c r="AF1239" s="161">
        <v>38</v>
      </c>
      <c r="AG1239" s="161">
        <v>6</v>
      </c>
      <c r="AH1239" s="145"/>
    </row>
    <row r="1240" spans="29:34" x14ac:dyDescent="0.15">
      <c r="AC1240" s="159">
        <v>46422</v>
      </c>
      <c r="AD1240" s="161">
        <v>44</v>
      </c>
      <c r="AE1240" s="161">
        <v>9</v>
      </c>
      <c r="AF1240" s="161">
        <v>39</v>
      </c>
      <c r="AG1240" s="161">
        <v>5</v>
      </c>
      <c r="AH1240" s="145"/>
    </row>
    <row r="1241" spans="29:34" x14ac:dyDescent="0.15">
      <c r="AC1241" s="159">
        <v>46452</v>
      </c>
      <c r="AD1241" s="161">
        <v>44</v>
      </c>
      <c r="AE1241" s="161">
        <v>9</v>
      </c>
      <c r="AF1241" s="161">
        <v>40</v>
      </c>
      <c r="AG1241" s="161">
        <v>4</v>
      </c>
      <c r="AH1241" s="145"/>
    </row>
    <row r="1242" spans="29:34" x14ac:dyDescent="0.15">
      <c r="AC1242" s="159">
        <v>46482</v>
      </c>
      <c r="AD1242" s="161">
        <v>44</v>
      </c>
      <c r="AE1242" s="161">
        <v>9</v>
      </c>
      <c r="AF1242" s="161">
        <v>41</v>
      </c>
      <c r="AG1242" s="161">
        <v>3</v>
      </c>
      <c r="AH1242" s="145"/>
    </row>
    <row r="1243" spans="29:34" x14ac:dyDescent="0.15">
      <c r="AC1243" s="159">
        <v>46513</v>
      </c>
      <c r="AD1243" s="161">
        <v>44</v>
      </c>
      <c r="AE1243" s="161">
        <v>9</v>
      </c>
      <c r="AF1243" s="161">
        <v>42</v>
      </c>
      <c r="AG1243" s="161">
        <v>2</v>
      </c>
      <c r="AH1243" s="145"/>
    </row>
    <row r="1244" spans="29:34" x14ac:dyDescent="0.15">
      <c r="AC1244" s="159">
        <v>46544</v>
      </c>
      <c r="AD1244" s="161">
        <v>44</v>
      </c>
      <c r="AE1244" s="161">
        <v>9</v>
      </c>
      <c r="AF1244" s="161">
        <v>43</v>
      </c>
      <c r="AG1244" s="161">
        <v>1</v>
      </c>
      <c r="AH1244" s="145"/>
    </row>
    <row r="1245" spans="29:34" x14ac:dyDescent="0.15">
      <c r="AC1245" s="159">
        <v>46575</v>
      </c>
      <c r="AD1245" s="161">
        <v>44</v>
      </c>
      <c r="AE1245" s="161">
        <v>9</v>
      </c>
      <c r="AF1245" s="161">
        <v>44</v>
      </c>
      <c r="AG1245" s="161">
        <v>9</v>
      </c>
      <c r="AH1245" s="145"/>
    </row>
    <row r="1246" spans="29:34" x14ac:dyDescent="0.15">
      <c r="AC1246" s="159">
        <v>46607</v>
      </c>
      <c r="AD1246" s="161">
        <v>44</v>
      </c>
      <c r="AE1246" s="161">
        <v>9</v>
      </c>
      <c r="AF1246" s="161">
        <v>45</v>
      </c>
      <c r="AG1246" s="161">
        <v>8</v>
      </c>
      <c r="AH1246" s="145"/>
    </row>
    <row r="1247" spans="29:34" x14ac:dyDescent="0.15">
      <c r="AC1247" s="159">
        <v>46638</v>
      </c>
      <c r="AD1247" s="161">
        <v>44</v>
      </c>
      <c r="AE1247" s="161">
        <v>9</v>
      </c>
      <c r="AF1247" s="161">
        <v>46</v>
      </c>
      <c r="AG1247" s="161">
        <v>7</v>
      </c>
      <c r="AH1247" s="145"/>
    </row>
    <row r="1248" spans="29:34" x14ac:dyDescent="0.15">
      <c r="AC1248" s="159">
        <v>46668</v>
      </c>
      <c r="AD1248" s="161">
        <v>44</v>
      </c>
      <c r="AE1248" s="161">
        <v>9</v>
      </c>
      <c r="AF1248" s="161">
        <v>47</v>
      </c>
      <c r="AG1248" s="161">
        <v>6</v>
      </c>
      <c r="AH1248" s="145"/>
    </row>
    <row r="1249" spans="28:34" x14ac:dyDescent="0.15">
      <c r="AC1249" s="159">
        <v>46699</v>
      </c>
      <c r="AD1249" s="161">
        <v>44</v>
      </c>
      <c r="AE1249" s="161">
        <v>9</v>
      </c>
      <c r="AF1249" s="161">
        <v>48</v>
      </c>
      <c r="AG1249" s="161">
        <v>5</v>
      </c>
      <c r="AH1249" s="145"/>
    </row>
    <row r="1250" spans="28:34" x14ac:dyDescent="0.15">
      <c r="AC1250" s="159">
        <v>46728</v>
      </c>
      <c r="AD1250" s="161">
        <v>44</v>
      </c>
      <c r="AE1250" s="161">
        <v>9</v>
      </c>
      <c r="AF1250" s="161">
        <v>49</v>
      </c>
      <c r="AG1250" s="161">
        <v>4</v>
      </c>
      <c r="AH1250" s="145"/>
    </row>
    <row r="1251" spans="28:34" x14ac:dyDescent="0.15">
      <c r="AC1251" s="159">
        <v>46758</v>
      </c>
      <c r="AD1251" s="161">
        <v>44</v>
      </c>
      <c r="AE1251" s="161">
        <v>9</v>
      </c>
      <c r="AF1251" s="161">
        <v>50</v>
      </c>
      <c r="AG1251" s="161">
        <v>3</v>
      </c>
      <c r="AH1251" s="145"/>
    </row>
    <row r="1252" spans="28:34" x14ac:dyDescent="0.15">
      <c r="AC1252" s="159">
        <v>46787</v>
      </c>
      <c r="AD1252" s="161">
        <v>45</v>
      </c>
      <c r="AE1252" s="161">
        <v>8</v>
      </c>
      <c r="AF1252" s="161">
        <v>51</v>
      </c>
      <c r="AG1252" s="161">
        <v>2</v>
      </c>
      <c r="AH1252" s="145"/>
    </row>
    <row r="1253" spans="28:34" x14ac:dyDescent="0.15">
      <c r="AC1253" s="159">
        <v>46817</v>
      </c>
      <c r="AD1253" s="161">
        <v>45</v>
      </c>
      <c r="AE1253" s="161">
        <v>8</v>
      </c>
      <c r="AF1253" s="161">
        <v>52</v>
      </c>
      <c r="AG1253" s="161">
        <v>1</v>
      </c>
      <c r="AH1253" s="145"/>
    </row>
    <row r="1254" spans="28:34" x14ac:dyDescent="0.15">
      <c r="AC1254" s="159">
        <v>46847</v>
      </c>
      <c r="AD1254" s="161">
        <v>45</v>
      </c>
      <c r="AE1254" s="161">
        <v>8</v>
      </c>
      <c r="AF1254" s="161">
        <v>53</v>
      </c>
      <c r="AG1254" s="161">
        <v>9</v>
      </c>
      <c r="AH1254" s="145"/>
    </row>
    <row r="1255" spans="28:34" x14ac:dyDescent="0.15">
      <c r="AB1255">
        <v>5</v>
      </c>
      <c r="AC1255" s="159">
        <v>46878</v>
      </c>
      <c r="AD1255" s="161">
        <v>45</v>
      </c>
      <c r="AE1255" s="161">
        <v>8</v>
      </c>
      <c r="AF1255" s="161">
        <v>54</v>
      </c>
      <c r="AG1255" s="161">
        <v>8</v>
      </c>
      <c r="AH1255" s="145"/>
    </row>
    <row r="1256" spans="28:34" x14ac:dyDescent="0.15">
      <c r="AB1256">
        <v>6</v>
      </c>
      <c r="AC1256" s="159">
        <v>46909</v>
      </c>
      <c r="AD1256" s="161">
        <v>45</v>
      </c>
      <c r="AE1256" s="161">
        <v>8</v>
      </c>
      <c r="AF1256" s="161">
        <v>55</v>
      </c>
      <c r="AG1256" s="161">
        <v>7</v>
      </c>
      <c r="AH1256" s="145"/>
    </row>
    <row r="1257" spans="28:34" x14ac:dyDescent="0.15">
      <c r="AC1257" s="159">
        <v>46940</v>
      </c>
      <c r="AD1257" s="161">
        <v>45</v>
      </c>
      <c r="AE1257" s="161">
        <v>8</v>
      </c>
      <c r="AF1257" s="161">
        <v>56</v>
      </c>
      <c r="AG1257" s="161">
        <v>6</v>
      </c>
      <c r="AH1257" s="145"/>
    </row>
    <row r="1258" spans="28:34" x14ac:dyDescent="0.15">
      <c r="AC1258" s="159">
        <v>46972</v>
      </c>
      <c r="AD1258" s="161">
        <v>45</v>
      </c>
      <c r="AE1258" s="161">
        <v>8</v>
      </c>
      <c r="AF1258" s="161">
        <v>57</v>
      </c>
      <c r="AG1258" s="161">
        <v>5</v>
      </c>
      <c r="AH1258" s="145"/>
    </row>
    <row r="1259" spans="28:34" x14ac:dyDescent="0.15">
      <c r="AC1259" s="159">
        <v>47003</v>
      </c>
      <c r="AD1259" s="161">
        <v>45</v>
      </c>
      <c r="AE1259" s="161">
        <v>8</v>
      </c>
      <c r="AF1259" s="161">
        <v>58</v>
      </c>
      <c r="AG1259" s="161">
        <v>4</v>
      </c>
      <c r="AH1259" s="145"/>
    </row>
    <row r="1260" spans="28:34" x14ac:dyDescent="0.15">
      <c r="AC1260" s="159">
        <v>47034</v>
      </c>
      <c r="AD1260" s="161">
        <v>45</v>
      </c>
      <c r="AE1260" s="161">
        <v>8</v>
      </c>
      <c r="AF1260" s="161">
        <v>59</v>
      </c>
      <c r="AG1260" s="161">
        <v>3</v>
      </c>
      <c r="AH1260" s="145"/>
    </row>
    <row r="1261" spans="28:34" x14ac:dyDescent="0.15">
      <c r="AC1261" s="159">
        <v>47064</v>
      </c>
      <c r="AD1261" s="161">
        <v>45</v>
      </c>
      <c r="AE1261" s="161">
        <v>8</v>
      </c>
      <c r="AF1261" s="161">
        <v>60</v>
      </c>
      <c r="AG1261" s="161">
        <v>2</v>
      </c>
      <c r="AH1261" s="145"/>
    </row>
    <row r="1262" spans="28:34" x14ac:dyDescent="0.15">
      <c r="AC1262" s="159">
        <v>47093</v>
      </c>
      <c r="AD1262" s="161">
        <v>45</v>
      </c>
      <c r="AE1262" s="161">
        <v>8</v>
      </c>
      <c r="AF1262" s="161">
        <v>1</v>
      </c>
      <c r="AG1262" s="161">
        <v>1</v>
      </c>
      <c r="AH1262" s="145"/>
    </row>
    <row r="1263" spans="28:34" x14ac:dyDescent="0.15">
      <c r="AC1263" s="159">
        <v>47123</v>
      </c>
      <c r="AD1263" s="161">
        <v>45</v>
      </c>
      <c r="AE1263" s="161">
        <v>8</v>
      </c>
      <c r="AF1263" s="161">
        <v>2</v>
      </c>
      <c r="AG1263" s="161">
        <v>9</v>
      </c>
      <c r="AH1263" s="145"/>
    </row>
    <row r="1264" spans="28:34" x14ac:dyDescent="0.15">
      <c r="AC1264" s="159">
        <v>47152</v>
      </c>
      <c r="AD1264" s="161">
        <v>46</v>
      </c>
      <c r="AE1264" s="161">
        <v>7</v>
      </c>
      <c r="AF1264" s="161">
        <v>3</v>
      </c>
      <c r="AG1264" s="161">
        <v>8</v>
      </c>
      <c r="AH1264" s="145"/>
    </row>
    <row r="1265" spans="29:34" x14ac:dyDescent="0.15">
      <c r="AC1265" s="159">
        <v>47182</v>
      </c>
      <c r="AD1265" s="161">
        <v>46</v>
      </c>
      <c r="AE1265" s="161">
        <v>7</v>
      </c>
      <c r="AF1265" s="161">
        <v>4</v>
      </c>
      <c r="AG1265" s="161">
        <v>7</v>
      </c>
      <c r="AH1265" s="145"/>
    </row>
    <row r="1266" spans="29:34" x14ac:dyDescent="0.15">
      <c r="AC1266" s="159">
        <v>47212</v>
      </c>
      <c r="AD1266" s="161">
        <v>46</v>
      </c>
      <c r="AE1266" s="161">
        <v>7</v>
      </c>
      <c r="AF1266" s="161">
        <v>5</v>
      </c>
      <c r="AG1266" s="161">
        <v>6</v>
      </c>
      <c r="AH1266" s="145"/>
    </row>
    <row r="1267" spans="29:34" x14ac:dyDescent="0.15">
      <c r="AC1267" s="159">
        <v>47243</v>
      </c>
      <c r="AD1267" s="161">
        <v>46</v>
      </c>
      <c r="AE1267" s="161">
        <v>7</v>
      </c>
      <c r="AF1267" s="161">
        <v>6</v>
      </c>
      <c r="AG1267" s="161">
        <v>5</v>
      </c>
      <c r="AH1267" s="145"/>
    </row>
    <row r="1268" spans="29:34" x14ac:dyDescent="0.15">
      <c r="AC1268" s="159">
        <v>47274</v>
      </c>
      <c r="AD1268" s="161">
        <v>46</v>
      </c>
      <c r="AE1268" s="161">
        <v>7</v>
      </c>
      <c r="AF1268" s="161">
        <v>7</v>
      </c>
      <c r="AG1268" s="161">
        <v>4</v>
      </c>
      <c r="AH1268" s="145"/>
    </row>
    <row r="1269" spans="29:34" x14ac:dyDescent="0.15">
      <c r="AC1269" s="159">
        <v>47306</v>
      </c>
      <c r="AD1269" s="161">
        <v>46</v>
      </c>
      <c r="AE1269" s="161">
        <v>7</v>
      </c>
      <c r="AF1269" s="161">
        <v>8</v>
      </c>
      <c r="AG1269" s="161">
        <v>3</v>
      </c>
      <c r="AH1269" s="145"/>
    </row>
    <row r="1270" spans="29:34" x14ac:dyDescent="0.15">
      <c r="AC1270" s="159">
        <v>47337</v>
      </c>
      <c r="AD1270" s="161">
        <v>46</v>
      </c>
      <c r="AE1270" s="161">
        <v>7</v>
      </c>
      <c r="AF1270" s="161">
        <v>9</v>
      </c>
      <c r="AG1270" s="161">
        <v>2</v>
      </c>
      <c r="AH1270" s="145"/>
    </row>
    <row r="1271" spans="29:34" x14ac:dyDescent="0.15">
      <c r="AC1271" s="159">
        <v>47368</v>
      </c>
      <c r="AD1271" s="161">
        <v>46</v>
      </c>
      <c r="AE1271" s="161">
        <v>7</v>
      </c>
      <c r="AF1271" s="161">
        <v>10</v>
      </c>
      <c r="AG1271" s="161">
        <v>1</v>
      </c>
      <c r="AH1271" s="145"/>
    </row>
    <row r="1272" spans="29:34" x14ac:dyDescent="0.15">
      <c r="AC1272" s="159">
        <v>47399</v>
      </c>
      <c r="AD1272" s="161">
        <v>46</v>
      </c>
      <c r="AE1272" s="161">
        <v>7</v>
      </c>
      <c r="AF1272" s="161">
        <v>11</v>
      </c>
      <c r="AG1272" s="161">
        <v>9</v>
      </c>
      <c r="AH1272" s="145"/>
    </row>
    <row r="1273" spans="29:34" x14ac:dyDescent="0.15">
      <c r="AC1273" s="159">
        <v>47429</v>
      </c>
      <c r="AD1273" s="161">
        <v>46</v>
      </c>
      <c r="AE1273" s="161">
        <v>7</v>
      </c>
      <c r="AF1273" s="161">
        <v>12</v>
      </c>
      <c r="AG1273" s="161">
        <v>8</v>
      </c>
      <c r="AH1273" s="145"/>
    </row>
    <row r="1274" spans="29:34" x14ac:dyDescent="0.15">
      <c r="AC1274" s="159">
        <v>47459</v>
      </c>
      <c r="AD1274" s="161">
        <v>46</v>
      </c>
      <c r="AE1274" s="161">
        <v>7</v>
      </c>
      <c r="AF1274" s="161">
        <v>13</v>
      </c>
      <c r="AG1274" s="161">
        <v>7</v>
      </c>
      <c r="AH1274" s="145"/>
    </row>
    <row r="1275" spans="29:34" x14ac:dyDescent="0.15">
      <c r="AC1275" s="159">
        <v>47488</v>
      </c>
      <c r="AD1275" s="161">
        <v>46</v>
      </c>
      <c r="AE1275" s="161">
        <v>7</v>
      </c>
      <c r="AF1275" s="161">
        <v>14</v>
      </c>
      <c r="AG1275" s="161">
        <v>6</v>
      </c>
      <c r="AH1275" s="145"/>
    </row>
    <row r="1276" spans="29:34" x14ac:dyDescent="0.15">
      <c r="AC1276" s="159">
        <v>47518</v>
      </c>
      <c r="AD1276" s="161">
        <v>47</v>
      </c>
      <c r="AE1276" s="161">
        <v>6</v>
      </c>
      <c r="AF1276" s="161">
        <v>15</v>
      </c>
      <c r="AG1276" s="161">
        <v>5</v>
      </c>
      <c r="AH1276" s="145"/>
    </row>
    <row r="1277" spans="29:34" x14ac:dyDescent="0.15">
      <c r="AC1277" s="159">
        <v>47547</v>
      </c>
      <c r="AD1277" s="161">
        <v>47</v>
      </c>
      <c r="AE1277" s="161">
        <v>6</v>
      </c>
      <c r="AF1277" s="161">
        <v>16</v>
      </c>
      <c r="AG1277" s="161">
        <v>4</v>
      </c>
      <c r="AH1277" s="145"/>
    </row>
    <row r="1278" spans="29:34" x14ac:dyDescent="0.15">
      <c r="AC1278" s="159">
        <v>47578</v>
      </c>
      <c r="AD1278" s="161">
        <v>47</v>
      </c>
      <c r="AE1278" s="161">
        <v>6</v>
      </c>
      <c r="AF1278" s="161">
        <v>17</v>
      </c>
      <c r="AG1278" s="161">
        <v>3</v>
      </c>
      <c r="AH1278" s="145"/>
    </row>
    <row r="1279" spans="29:34" x14ac:dyDescent="0.15">
      <c r="AC1279" s="159">
        <v>47608</v>
      </c>
      <c r="AD1279" s="161">
        <v>47</v>
      </c>
      <c r="AE1279" s="161">
        <v>6</v>
      </c>
      <c r="AF1279" s="161">
        <v>18</v>
      </c>
      <c r="AG1279" s="161">
        <v>2</v>
      </c>
      <c r="AH1279" s="145"/>
    </row>
    <row r="1280" spans="29:34" x14ac:dyDescent="0.15">
      <c r="AC1280" s="159">
        <v>47639</v>
      </c>
      <c r="AD1280" s="161">
        <v>47</v>
      </c>
      <c r="AE1280" s="161">
        <v>6</v>
      </c>
      <c r="AF1280" s="161">
        <v>19</v>
      </c>
      <c r="AG1280" s="161">
        <v>1</v>
      </c>
      <c r="AH1280" s="145"/>
    </row>
    <row r="1281" spans="27:34" x14ac:dyDescent="0.15">
      <c r="AC1281" s="159">
        <v>47671</v>
      </c>
      <c r="AD1281" s="161">
        <v>47</v>
      </c>
      <c r="AE1281" s="161">
        <v>6</v>
      </c>
      <c r="AF1281" s="161">
        <v>20</v>
      </c>
      <c r="AG1281" s="161">
        <v>9</v>
      </c>
      <c r="AH1281" s="145"/>
    </row>
    <row r="1282" spans="27:34" x14ac:dyDescent="0.15">
      <c r="AC1282" s="159">
        <v>47702</v>
      </c>
      <c r="AD1282" s="161">
        <v>47</v>
      </c>
      <c r="AE1282" s="161">
        <v>6</v>
      </c>
      <c r="AF1282" s="161">
        <v>21</v>
      </c>
      <c r="AG1282" s="161">
        <v>8</v>
      </c>
      <c r="AH1282" s="145"/>
    </row>
    <row r="1283" spans="27:34" x14ac:dyDescent="0.15">
      <c r="AC1283" s="159">
        <v>47733</v>
      </c>
      <c r="AD1283" s="161">
        <v>47</v>
      </c>
      <c r="AE1283" s="161">
        <v>6</v>
      </c>
      <c r="AF1283" s="161">
        <v>22</v>
      </c>
      <c r="AG1283" s="161">
        <v>7</v>
      </c>
      <c r="AH1283" s="145"/>
    </row>
    <row r="1284" spans="27:34" x14ac:dyDescent="0.15">
      <c r="AC1284" s="159">
        <v>47764</v>
      </c>
      <c r="AD1284" s="161">
        <v>47</v>
      </c>
      <c r="AE1284" s="161">
        <v>6</v>
      </c>
      <c r="AF1284" s="161">
        <v>23</v>
      </c>
      <c r="AG1284" s="161">
        <v>6</v>
      </c>
      <c r="AH1284" s="145"/>
    </row>
    <row r="1285" spans="27:34" x14ac:dyDescent="0.15">
      <c r="AC1285" s="159">
        <v>47794</v>
      </c>
      <c r="AD1285" s="161">
        <v>47</v>
      </c>
      <c r="AE1285" s="161">
        <v>6</v>
      </c>
      <c r="AF1285" s="161">
        <v>24</v>
      </c>
      <c r="AG1285" s="161">
        <v>5</v>
      </c>
      <c r="AH1285" s="145"/>
    </row>
    <row r="1286" spans="27:34" x14ac:dyDescent="0.15">
      <c r="AC1286" s="159">
        <v>47824</v>
      </c>
      <c r="AD1286" s="161">
        <v>47</v>
      </c>
      <c r="AE1286" s="161">
        <v>6</v>
      </c>
      <c r="AF1286" s="161">
        <v>25</v>
      </c>
      <c r="AG1286" s="161">
        <v>4</v>
      </c>
      <c r="AH1286" s="145"/>
    </row>
    <row r="1287" spans="27:34" x14ac:dyDescent="0.15">
      <c r="AA1287" s="160"/>
      <c r="AB1287">
        <v>6</v>
      </c>
      <c r="AC1287" s="159">
        <v>47853</v>
      </c>
      <c r="AD1287" s="161">
        <v>47</v>
      </c>
      <c r="AE1287" s="161">
        <v>6</v>
      </c>
      <c r="AF1287" s="161">
        <v>26</v>
      </c>
      <c r="AG1287" s="161">
        <v>3</v>
      </c>
      <c r="AH1287" s="145"/>
    </row>
    <row r="1288" spans="27:34" x14ac:dyDescent="0.15">
      <c r="AC1288" s="158">
        <v>47883</v>
      </c>
      <c r="AD1288" s="161">
        <v>48</v>
      </c>
      <c r="AE1288" s="161">
        <v>5</v>
      </c>
      <c r="AF1288" s="161">
        <v>27</v>
      </c>
      <c r="AG1288" s="161">
        <v>2</v>
      </c>
    </row>
    <row r="1289" spans="27:34" x14ac:dyDescent="0.15">
      <c r="AC1289" s="158">
        <v>47913</v>
      </c>
      <c r="AD1289" s="161">
        <v>48</v>
      </c>
      <c r="AE1289" s="161">
        <v>5</v>
      </c>
      <c r="AF1289" s="161">
        <v>28</v>
      </c>
      <c r="AG1289" s="161">
        <v>1</v>
      </c>
    </row>
    <row r="1290" spans="27:34" x14ac:dyDescent="0.15">
      <c r="AC1290" s="158">
        <v>47943</v>
      </c>
      <c r="AD1290" s="161">
        <v>48</v>
      </c>
      <c r="AE1290" s="161">
        <v>5</v>
      </c>
      <c r="AF1290" s="161">
        <v>29</v>
      </c>
      <c r="AG1290" s="161">
        <v>9</v>
      </c>
    </row>
    <row r="1291" spans="27:34" x14ac:dyDescent="0.15">
      <c r="AC1291" s="158">
        <v>47974</v>
      </c>
      <c r="AD1291" s="161">
        <v>48</v>
      </c>
      <c r="AE1291" s="161">
        <v>5</v>
      </c>
      <c r="AF1291" s="161">
        <v>30</v>
      </c>
      <c r="AG1291" s="161">
        <v>8</v>
      </c>
    </row>
    <row r="1292" spans="27:34" x14ac:dyDescent="0.15">
      <c r="AC1292" s="158">
        <v>48005</v>
      </c>
      <c r="AD1292" s="161">
        <v>48</v>
      </c>
      <c r="AE1292" s="161">
        <v>5</v>
      </c>
      <c r="AF1292" s="161">
        <v>31</v>
      </c>
      <c r="AG1292" s="161">
        <v>7</v>
      </c>
    </row>
    <row r="1293" spans="27:34" x14ac:dyDescent="0.15">
      <c r="AC1293" s="158">
        <v>48036</v>
      </c>
      <c r="AD1293" s="161">
        <v>48</v>
      </c>
      <c r="AE1293" s="161">
        <v>5</v>
      </c>
      <c r="AF1293" s="161">
        <v>32</v>
      </c>
      <c r="AG1293" s="161">
        <v>6</v>
      </c>
    </row>
    <row r="1294" spans="27:34" x14ac:dyDescent="0.15">
      <c r="AC1294" s="158">
        <v>48068</v>
      </c>
      <c r="AD1294" s="161">
        <v>48</v>
      </c>
      <c r="AE1294" s="161">
        <v>5</v>
      </c>
      <c r="AF1294" s="161">
        <v>33</v>
      </c>
      <c r="AG1294" s="161">
        <v>5</v>
      </c>
    </row>
    <row r="1295" spans="27:34" x14ac:dyDescent="0.15">
      <c r="AC1295" s="158">
        <v>48099</v>
      </c>
      <c r="AD1295" s="161">
        <v>48</v>
      </c>
      <c r="AE1295" s="161">
        <v>5</v>
      </c>
      <c r="AF1295" s="161">
        <v>34</v>
      </c>
      <c r="AG1295" s="161">
        <v>4</v>
      </c>
    </row>
    <row r="1296" spans="27:34" x14ac:dyDescent="0.15">
      <c r="AC1296" s="158">
        <v>48129</v>
      </c>
      <c r="AD1296" s="161">
        <v>48</v>
      </c>
      <c r="AE1296" s="161">
        <v>5</v>
      </c>
      <c r="AF1296" s="161">
        <v>35</v>
      </c>
      <c r="AG1296" s="161">
        <v>3</v>
      </c>
    </row>
    <row r="1297" spans="29:33" x14ac:dyDescent="0.15">
      <c r="AC1297" s="158">
        <v>48160</v>
      </c>
      <c r="AD1297" s="161">
        <v>48</v>
      </c>
      <c r="AE1297" s="161">
        <v>5</v>
      </c>
      <c r="AF1297" s="161">
        <v>36</v>
      </c>
      <c r="AG1297" s="161">
        <v>2</v>
      </c>
    </row>
    <row r="1298" spans="29:33" x14ac:dyDescent="0.15">
      <c r="AC1298" s="158">
        <v>48189</v>
      </c>
      <c r="AD1298" s="161">
        <v>48</v>
      </c>
      <c r="AE1298" s="161">
        <v>5</v>
      </c>
      <c r="AF1298" s="161">
        <v>37</v>
      </c>
      <c r="AG1298" s="161">
        <v>1</v>
      </c>
    </row>
    <row r="1299" spans="29:33" x14ac:dyDescent="0.15">
      <c r="AC1299" s="158">
        <v>48219</v>
      </c>
      <c r="AD1299" s="161">
        <v>48</v>
      </c>
      <c r="AE1299" s="161">
        <v>5</v>
      </c>
      <c r="AF1299" s="161">
        <v>38</v>
      </c>
      <c r="AG1299" s="161">
        <v>9</v>
      </c>
    </row>
    <row r="1300" spans="29:33" x14ac:dyDescent="0.15">
      <c r="AC1300" s="159">
        <v>48248</v>
      </c>
      <c r="AD1300" s="161">
        <v>49</v>
      </c>
      <c r="AE1300" s="161">
        <v>4</v>
      </c>
      <c r="AF1300" s="161">
        <v>39</v>
      </c>
      <c r="AG1300" s="161">
        <v>8</v>
      </c>
    </row>
    <row r="1301" spans="29:33" x14ac:dyDescent="0.15">
      <c r="AC1301" s="159">
        <v>48278</v>
      </c>
      <c r="AD1301" s="161">
        <v>49</v>
      </c>
      <c r="AE1301" s="161">
        <v>4</v>
      </c>
      <c r="AF1301" s="161">
        <v>40</v>
      </c>
      <c r="AG1301" s="161">
        <v>7</v>
      </c>
    </row>
    <row r="1302" spans="29:33" x14ac:dyDescent="0.15">
      <c r="AC1302" s="159">
        <v>48308</v>
      </c>
      <c r="AD1302" s="161">
        <v>49</v>
      </c>
      <c r="AE1302" s="161">
        <v>4</v>
      </c>
      <c r="AF1302" s="161">
        <v>41</v>
      </c>
      <c r="AG1302" s="161">
        <v>6</v>
      </c>
    </row>
    <row r="1303" spans="29:33" x14ac:dyDescent="0.15">
      <c r="AC1303" s="159">
        <v>48339</v>
      </c>
      <c r="AD1303" s="161">
        <v>49</v>
      </c>
      <c r="AE1303" s="161">
        <v>4</v>
      </c>
      <c r="AF1303" s="161">
        <v>42</v>
      </c>
      <c r="AG1303" s="161">
        <v>5</v>
      </c>
    </row>
    <row r="1304" spans="29:33" x14ac:dyDescent="0.15">
      <c r="AC1304" s="159">
        <v>48370</v>
      </c>
      <c r="AD1304" s="161">
        <v>49</v>
      </c>
      <c r="AE1304" s="161">
        <v>4</v>
      </c>
      <c r="AF1304" s="161">
        <v>43</v>
      </c>
      <c r="AG1304" s="161">
        <v>4</v>
      </c>
    </row>
    <row r="1305" spans="29:33" x14ac:dyDescent="0.15">
      <c r="AC1305" s="159">
        <v>48401</v>
      </c>
      <c r="AD1305" s="161">
        <v>49</v>
      </c>
      <c r="AE1305" s="161">
        <v>4</v>
      </c>
      <c r="AF1305" s="161">
        <v>44</v>
      </c>
      <c r="AG1305" s="161">
        <v>3</v>
      </c>
    </row>
    <row r="1306" spans="29:33" x14ac:dyDescent="0.15">
      <c r="AC1306" s="159">
        <v>48433</v>
      </c>
      <c r="AD1306" s="161">
        <v>49</v>
      </c>
      <c r="AE1306" s="161">
        <v>4</v>
      </c>
      <c r="AF1306" s="161">
        <v>45</v>
      </c>
      <c r="AG1306" s="161">
        <v>2</v>
      </c>
    </row>
    <row r="1307" spans="29:33" x14ac:dyDescent="0.15">
      <c r="AC1307" s="159">
        <v>48464</v>
      </c>
      <c r="AD1307" s="161">
        <v>49</v>
      </c>
      <c r="AE1307" s="161">
        <v>4</v>
      </c>
      <c r="AF1307" s="161">
        <v>46</v>
      </c>
      <c r="AG1307" s="161">
        <v>1</v>
      </c>
    </row>
    <row r="1308" spans="29:33" x14ac:dyDescent="0.15">
      <c r="AC1308" s="159">
        <v>48495</v>
      </c>
      <c r="AD1308" s="161">
        <v>49</v>
      </c>
      <c r="AE1308" s="161">
        <v>4</v>
      </c>
      <c r="AF1308" s="161">
        <v>47</v>
      </c>
      <c r="AG1308" s="161">
        <v>9</v>
      </c>
    </row>
    <row r="1309" spans="29:33" x14ac:dyDescent="0.15">
      <c r="AC1309" s="159">
        <v>48525</v>
      </c>
      <c r="AD1309" s="161">
        <v>49</v>
      </c>
      <c r="AE1309" s="161">
        <v>4</v>
      </c>
      <c r="AF1309" s="161">
        <v>48</v>
      </c>
      <c r="AG1309" s="161">
        <v>8</v>
      </c>
    </row>
    <row r="1310" spans="29:33" x14ac:dyDescent="0.15">
      <c r="AC1310" s="159">
        <v>48554</v>
      </c>
      <c r="AD1310" s="161">
        <v>49</v>
      </c>
      <c r="AE1310" s="161">
        <v>4</v>
      </c>
      <c r="AF1310" s="161">
        <v>49</v>
      </c>
      <c r="AG1310" s="161">
        <v>7</v>
      </c>
    </row>
    <row r="1311" spans="29:33" x14ac:dyDescent="0.15">
      <c r="AC1311" s="159">
        <v>48584</v>
      </c>
      <c r="AD1311" s="161">
        <v>49</v>
      </c>
      <c r="AE1311" s="161">
        <v>4</v>
      </c>
      <c r="AF1311" s="161">
        <v>50</v>
      </c>
      <c r="AG1311" s="161">
        <v>6</v>
      </c>
    </row>
    <row r="1312" spans="29:33" x14ac:dyDescent="0.15">
      <c r="AC1312" s="159">
        <v>48613</v>
      </c>
      <c r="AD1312" s="161">
        <v>50</v>
      </c>
      <c r="AE1312" s="161">
        <v>3</v>
      </c>
      <c r="AF1312" s="161">
        <v>51</v>
      </c>
      <c r="AG1312" s="161">
        <v>5</v>
      </c>
    </row>
    <row r="1313" spans="29:33" x14ac:dyDescent="0.15">
      <c r="AC1313" s="159">
        <v>48643</v>
      </c>
      <c r="AD1313" s="161">
        <v>50</v>
      </c>
      <c r="AE1313" s="161">
        <v>3</v>
      </c>
      <c r="AF1313" s="161">
        <v>52</v>
      </c>
      <c r="AG1313" s="161">
        <v>4</v>
      </c>
    </row>
    <row r="1314" spans="29:33" x14ac:dyDescent="0.15">
      <c r="AC1314" s="159">
        <v>48673</v>
      </c>
      <c r="AD1314" s="161">
        <v>50</v>
      </c>
      <c r="AE1314" s="161">
        <v>3</v>
      </c>
      <c r="AF1314" s="161">
        <v>53</v>
      </c>
      <c r="AG1314" s="161">
        <v>3</v>
      </c>
    </row>
    <row r="1315" spans="29:33" x14ac:dyDescent="0.15">
      <c r="AC1315" s="159">
        <v>48704</v>
      </c>
      <c r="AD1315" s="161">
        <v>50</v>
      </c>
      <c r="AE1315" s="161">
        <v>3</v>
      </c>
      <c r="AF1315" s="161">
        <v>54</v>
      </c>
      <c r="AG1315" s="161">
        <v>2</v>
      </c>
    </row>
    <row r="1316" spans="29:33" x14ac:dyDescent="0.15">
      <c r="AC1316" s="159">
        <v>48735</v>
      </c>
      <c r="AD1316" s="161">
        <v>50</v>
      </c>
      <c r="AE1316" s="161">
        <v>3</v>
      </c>
      <c r="AF1316" s="161">
        <v>55</v>
      </c>
      <c r="AG1316" s="161">
        <v>1</v>
      </c>
    </row>
    <row r="1317" spans="29:33" x14ac:dyDescent="0.15">
      <c r="AC1317" s="159">
        <v>48767</v>
      </c>
      <c r="AD1317" s="161">
        <v>50</v>
      </c>
      <c r="AE1317" s="161">
        <v>3</v>
      </c>
      <c r="AF1317" s="161">
        <v>56</v>
      </c>
      <c r="AG1317" s="161">
        <v>9</v>
      </c>
    </row>
    <row r="1318" spans="29:33" x14ac:dyDescent="0.15">
      <c r="AC1318" s="159">
        <v>48798</v>
      </c>
      <c r="AD1318" s="161">
        <v>50</v>
      </c>
      <c r="AE1318" s="161">
        <v>3</v>
      </c>
      <c r="AF1318" s="161">
        <v>57</v>
      </c>
      <c r="AG1318" s="161">
        <v>8</v>
      </c>
    </row>
    <row r="1319" spans="29:33" x14ac:dyDescent="0.15">
      <c r="AC1319" s="159">
        <v>48829</v>
      </c>
      <c r="AD1319" s="161">
        <v>50</v>
      </c>
      <c r="AE1319" s="161">
        <v>3</v>
      </c>
      <c r="AF1319" s="161">
        <v>58</v>
      </c>
      <c r="AG1319" s="161">
        <v>7</v>
      </c>
    </row>
    <row r="1320" spans="29:33" x14ac:dyDescent="0.15">
      <c r="AC1320" s="159">
        <v>48860</v>
      </c>
      <c r="AD1320" s="161">
        <v>50</v>
      </c>
      <c r="AE1320" s="161">
        <v>3</v>
      </c>
      <c r="AF1320" s="161">
        <v>59</v>
      </c>
      <c r="AG1320" s="161">
        <v>6</v>
      </c>
    </row>
    <row r="1321" spans="29:33" x14ac:dyDescent="0.15">
      <c r="AC1321" s="159">
        <v>48890</v>
      </c>
      <c r="AD1321" s="161">
        <v>50</v>
      </c>
      <c r="AE1321" s="161">
        <v>3</v>
      </c>
      <c r="AF1321" s="161">
        <v>60</v>
      </c>
      <c r="AG1321" s="161">
        <v>5</v>
      </c>
    </row>
    <row r="1322" spans="29:33" x14ac:dyDescent="0.15">
      <c r="AC1322" s="159">
        <v>48920</v>
      </c>
      <c r="AD1322" s="161">
        <v>50</v>
      </c>
      <c r="AE1322" s="161">
        <v>3</v>
      </c>
      <c r="AF1322" s="161">
        <v>1</v>
      </c>
      <c r="AG1322" s="161">
        <v>4</v>
      </c>
    </row>
    <row r="1323" spans="29:33" x14ac:dyDescent="0.15">
      <c r="AC1323" s="159">
        <v>48949</v>
      </c>
      <c r="AD1323" s="161">
        <v>50</v>
      </c>
      <c r="AE1323" s="161">
        <v>3</v>
      </c>
      <c r="AF1323" s="161">
        <v>2</v>
      </c>
      <c r="AG1323" s="161">
        <v>3</v>
      </c>
    </row>
    <row r="1324" spans="29:33" x14ac:dyDescent="0.15">
      <c r="AC1324" s="159">
        <v>48979</v>
      </c>
      <c r="AD1324" s="161">
        <v>51</v>
      </c>
      <c r="AE1324" s="161">
        <v>2</v>
      </c>
      <c r="AF1324" s="161">
        <v>3</v>
      </c>
      <c r="AG1324" s="161">
        <v>2</v>
      </c>
    </row>
    <row r="1325" spans="29:33" x14ac:dyDescent="0.15">
      <c r="AC1325" s="159">
        <v>49008</v>
      </c>
      <c r="AD1325" s="161">
        <v>51</v>
      </c>
      <c r="AE1325" s="161">
        <v>2</v>
      </c>
      <c r="AF1325" s="161">
        <v>4</v>
      </c>
      <c r="AG1325" s="161">
        <v>1</v>
      </c>
    </row>
    <row r="1326" spans="29:33" x14ac:dyDescent="0.15">
      <c r="AC1326" s="159">
        <v>49039</v>
      </c>
      <c r="AD1326" s="161">
        <v>51</v>
      </c>
      <c r="AE1326" s="161">
        <v>2</v>
      </c>
      <c r="AF1326" s="161">
        <v>5</v>
      </c>
      <c r="AG1326" s="161">
        <v>9</v>
      </c>
    </row>
    <row r="1327" spans="29:33" x14ac:dyDescent="0.15">
      <c r="AC1327" s="159">
        <v>49069</v>
      </c>
      <c r="AD1327" s="161">
        <v>51</v>
      </c>
      <c r="AE1327" s="161">
        <v>2</v>
      </c>
      <c r="AF1327" s="161">
        <v>6</v>
      </c>
      <c r="AG1327" s="161">
        <v>8</v>
      </c>
    </row>
    <row r="1328" spans="29:33" x14ac:dyDescent="0.15">
      <c r="AC1328" s="159">
        <v>49100</v>
      </c>
      <c r="AD1328" s="161">
        <v>51</v>
      </c>
      <c r="AE1328" s="161">
        <v>2</v>
      </c>
      <c r="AF1328" s="161">
        <v>7</v>
      </c>
      <c r="AG1328" s="161">
        <v>7</v>
      </c>
    </row>
    <row r="1329" spans="29:33" x14ac:dyDescent="0.15">
      <c r="AC1329" s="159">
        <v>49132</v>
      </c>
      <c r="AD1329" s="161">
        <v>51</v>
      </c>
      <c r="AE1329" s="161">
        <v>2</v>
      </c>
      <c r="AF1329" s="161">
        <v>8</v>
      </c>
      <c r="AG1329" s="161">
        <v>6</v>
      </c>
    </row>
    <row r="1330" spans="29:33" x14ac:dyDescent="0.15">
      <c r="AC1330" s="159">
        <v>49163</v>
      </c>
      <c r="AD1330" s="161">
        <v>51</v>
      </c>
      <c r="AE1330" s="161">
        <v>2</v>
      </c>
      <c r="AF1330" s="161">
        <v>9</v>
      </c>
      <c r="AG1330" s="161">
        <v>5</v>
      </c>
    </row>
    <row r="1331" spans="29:33" x14ac:dyDescent="0.15">
      <c r="AC1331" s="159">
        <v>49194</v>
      </c>
      <c r="AD1331" s="161">
        <v>51</v>
      </c>
      <c r="AE1331" s="161">
        <v>2</v>
      </c>
      <c r="AF1331" s="161">
        <v>10</v>
      </c>
      <c r="AG1331" s="161">
        <v>4</v>
      </c>
    </row>
    <row r="1332" spans="29:33" x14ac:dyDescent="0.15">
      <c r="AC1332" s="159">
        <v>49225</v>
      </c>
      <c r="AD1332" s="161">
        <v>51</v>
      </c>
      <c r="AE1332" s="161">
        <v>2</v>
      </c>
      <c r="AF1332" s="161">
        <v>11</v>
      </c>
      <c r="AG1332" s="161">
        <v>3</v>
      </c>
    </row>
    <row r="1333" spans="29:33" x14ac:dyDescent="0.15">
      <c r="AC1333" s="159">
        <v>49255</v>
      </c>
      <c r="AD1333" s="161">
        <v>51</v>
      </c>
      <c r="AE1333" s="161">
        <v>2</v>
      </c>
      <c r="AF1333" s="161">
        <v>12</v>
      </c>
      <c r="AG1333" s="161">
        <v>2</v>
      </c>
    </row>
    <row r="1334" spans="29:33" x14ac:dyDescent="0.15">
      <c r="AC1334" s="159">
        <v>49285</v>
      </c>
      <c r="AD1334" s="161">
        <v>51</v>
      </c>
      <c r="AE1334" s="161">
        <v>2</v>
      </c>
      <c r="AF1334" s="161">
        <v>13</v>
      </c>
      <c r="AG1334" s="161">
        <v>1</v>
      </c>
    </row>
    <row r="1335" spans="29:33" x14ac:dyDescent="0.15">
      <c r="AC1335" s="159">
        <v>49314</v>
      </c>
      <c r="AD1335" s="161">
        <v>51</v>
      </c>
      <c r="AE1335" s="161">
        <v>2</v>
      </c>
      <c r="AF1335" s="161">
        <v>14</v>
      </c>
      <c r="AG1335" s="161">
        <v>9</v>
      </c>
    </row>
    <row r="1336" spans="29:33" x14ac:dyDescent="0.15">
      <c r="AC1336" s="159">
        <v>49344</v>
      </c>
      <c r="AD1336" s="161">
        <v>52</v>
      </c>
      <c r="AE1336" s="161">
        <v>1</v>
      </c>
      <c r="AF1336" s="161">
        <v>15</v>
      </c>
      <c r="AG1336" s="161">
        <v>8</v>
      </c>
    </row>
    <row r="1337" spans="29:33" x14ac:dyDescent="0.15">
      <c r="AC1337" s="159">
        <v>49374</v>
      </c>
      <c r="AD1337" s="161">
        <v>52</v>
      </c>
      <c r="AE1337" s="161">
        <v>1</v>
      </c>
      <c r="AF1337" s="161">
        <v>16</v>
      </c>
      <c r="AG1337" s="161">
        <v>7</v>
      </c>
    </row>
    <row r="1338" spans="29:33" x14ac:dyDescent="0.15">
      <c r="AC1338" s="159">
        <v>49404</v>
      </c>
      <c r="AD1338" s="161">
        <v>52</v>
      </c>
      <c r="AE1338" s="161">
        <v>1</v>
      </c>
      <c r="AF1338" s="161">
        <v>17</v>
      </c>
      <c r="AG1338" s="161">
        <v>6</v>
      </c>
    </row>
    <row r="1339" spans="29:33" x14ac:dyDescent="0.15">
      <c r="AC1339" s="159">
        <v>49435</v>
      </c>
      <c r="AD1339" s="161">
        <v>52</v>
      </c>
      <c r="AE1339" s="161">
        <v>1</v>
      </c>
      <c r="AF1339" s="161">
        <v>18</v>
      </c>
      <c r="AG1339" s="161">
        <v>5</v>
      </c>
    </row>
    <row r="1340" spans="29:33" x14ac:dyDescent="0.15">
      <c r="AC1340" s="159">
        <v>49466</v>
      </c>
      <c r="AD1340" s="161">
        <v>52</v>
      </c>
      <c r="AE1340" s="161">
        <v>1</v>
      </c>
      <c r="AF1340" s="161">
        <v>19</v>
      </c>
      <c r="AG1340" s="161">
        <v>4</v>
      </c>
    </row>
    <row r="1341" spans="29:33" x14ac:dyDescent="0.15">
      <c r="AC1341" s="159">
        <v>49497</v>
      </c>
      <c r="AD1341" s="161">
        <v>52</v>
      </c>
      <c r="AE1341" s="161">
        <v>1</v>
      </c>
      <c r="AF1341" s="161">
        <v>20</v>
      </c>
      <c r="AG1341" s="161">
        <v>3</v>
      </c>
    </row>
    <row r="1342" spans="29:33" x14ac:dyDescent="0.15">
      <c r="AC1342" s="159">
        <v>49529</v>
      </c>
      <c r="AD1342" s="161">
        <v>52</v>
      </c>
      <c r="AE1342" s="161">
        <v>1</v>
      </c>
      <c r="AF1342" s="161">
        <v>21</v>
      </c>
      <c r="AG1342" s="161">
        <v>2</v>
      </c>
    </row>
    <row r="1343" spans="29:33" x14ac:dyDescent="0.15">
      <c r="AC1343" s="159">
        <v>49560</v>
      </c>
      <c r="AD1343" s="161">
        <v>52</v>
      </c>
      <c r="AE1343" s="161">
        <v>1</v>
      </c>
      <c r="AF1343" s="161">
        <v>22</v>
      </c>
      <c r="AG1343" s="161">
        <v>1</v>
      </c>
    </row>
    <row r="1344" spans="29:33" x14ac:dyDescent="0.15">
      <c r="AC1344" s="159">
        <v>49590</v>
      </c>
      <c r="AD1344" s="161">
        <v>52</v>
      </c>
      <c r="AE1344" s="161">
        <v>1</v>
      </c>
      <c r="AF1344" s="161">
        <v>23</v>
      </c>
      <c r="AG1344" s="161">
        <v>9</v>
      </c>
    </row>
    <row r="1345" spans="29:33" x14ac:dyDescent="0.15">
      <c r="AC1345" s="159">
        <v>49620</v>
      </c>
      <c r="AD1345" s="161">
        <v>52</v>
      </c>
      <c r="AE1345" s="161">
        <v>1</v>
      </c>
      <c r="AF1345" s="161">
        <v>24</v>
      </c>
      <c r="AG1345" s="161">
        <v>8</v>
      </c>
    </row>
    <row r="1346" spans="29:33" x14ac:dyDescent="0.15">
      <c r="AC1346" s="159">
        <v>49650</v>
      </c>
      <c r="AD1346" s="161">
        <v>52</v>
      </c>
      <c r="AE1346" s="161">
        <v>1</v>
      </c>
      <c r="AF1346" s="161">
        <v>25</v>
      </c>
      <c r="AG1346" s="161">
        <v>7</v>
      </c>
    </row>
    <row r="1347" spans="29:33" x14ac:dyDescent="0.15">
      <c r="AC1347" s="159">
        <v>49680</v>
      </c>
      <c r="AD1347" s="161">
        <v>52</v>
      </c>
      <c r="AE1347" s="161">
        <v>1</v>
      </c>
      <c r="AF1347" s="161">
        <v>26</v>
      </c>
      <c r="AG1347" s="161">
        <v>6</v>
      </c>
    </row>
    <row r="1348" spans="29:33" x14ac:dyDescent="0.15">
      <c r="AC1348" s="159">
        <v>49709</v>
      </c>
      <c r="AD1348" s="161">
        <v>53</v>
      </c>
      <c r="AE1348" s="161">
        <v>9</v>
      </c>
      <c r="AF1348" s="161">
        <v>27</v>
      </c>
      <c r="AG1348" s="161">
        <v>5</v>
      </c>
    </row>
    <row r="1349" spans="29:33" x14ac:dyDescent="0.15">
      <c r="AC1349" s="159">
        <v>49739</v>
      </c>
      <c r="AD1349" s="161">
        <v>53</v>
      </c>
      <c r="AE1349" s="161">
        <v>9</v>
      </c>
      <c r="AF1349" s="161">
        <v>28</v>
      </c>
      <c r="AG1349" s="161">
        <v>4</v>
      </c>
    </row>
    <row r="1350" spans="29:33" x14ac:dyDescent="0.15">
      <c r="AC1350" s="159">
        <v>49769</v>
      </c>
      <c r="AD1350" s="161">
        <v>53</v>
      </c>
      <c r="AE1350" s="161">
        <v>9</v>
      </c>
      <c r="AF1350" s="161">
        <v>29</v>
      </c>
      <c r="AG1350" s="161">
        <v>3</v>
      </c>
    </row>
    <row r="1351" spans="29:33" x14ac:dyDescent="0.15">
      <c r="AC1351" s="159">
        <v>49800</v>
      </c>
      <c r="AD1351" s="161">
        <v>53</v>
      </c>
      <c r="AE1351" s="161">
        <v>9</v>
      </c>
      <c r="AF1351" s="161">
        <v>30</v>
      </c>
      <c r="AG1351" s="161">
        <v>2</v>
      </c>
    </row>
    <row r="1352" spans="29:33" x14ac:dyDescent="0.15">
      <c r="AC1352" s="159">
        <v>49831</v>
      </c>
      <c r="AD1352" s="161">
        <v>53</v>
      </c>
      <c r="AE1352" s="161">
        <v>9</v>
      </c>
      <c r="AF1352" s="161">
        <v>31</v>
      </c>
      <c r="AG1352" s="161">
        <v>1</v>
      </c>
    </row>
    <row r="1353" spans="29:33" x14ac:dyDescent="0.15">
      <c r="AC1353" s="159">
        <v>49862</v>
      </c>
      <c r="AD1353" s="161">
        <v>53</v>
      </c>
      <c r="AE1353" s="161">
        <v>9</v>
      </c>
      <c r="AF1353" s="161">
        <v>32</v>
      </c>
      <c r="AG1353" s="161">
        <v>9</v>
      </c>
    </row>
    <row r="1354" spans="29:33" x14ac:dyDescent="0.15">
      <c r="AC1354" s="159">
        <v>49894</v>
      </c>
      <c r="AD1354" s="161">
        <v>53</v>
      </c>
      <c r="AE1354" s="161">
        <v>9</v>
      </c>
      <c r="AF1354" s="161">
        <v>33</v>
      </c>
      <c r="AG1354" s="161">
        <v>8</v>
      </c>
    </row>
    <row r="1355" spans="29:33" x14ac:dyDescent="0.15">
      <c r="AC1355" s="159">
        <v>49925</v>
      </c>
      <c r="AD1355" s="161">
        <v>53</v>
      </c>
      <c r="AE1355" s="161">
        <v>9</v>
      </c>
      <c r="AF1355" s="161">
        <v>34</v>
      </c>
      <c r="AG1355" s="161">
        <v>7</v>
      </c>
    </row>
    <row r="1356" spans="29:33" x14ac:dyDescent="0.15">
      <c r="AC1356" s="159">
        <v>49956</v>
      </c>
      <c r="AD1356" s="161">
        <v>53</v>
      </c>
      <c r="AE1356" s="161">
        <v>9</v>
      </c>
      <c r="AF1356" s="161">
        <v>35</v>
      </c>
      <c r="AG1356" s="161">
        <v>6</v>
      </c>
    </row>
    <row r="1357" spans="29:33" x14ac:dyDescent="0.15">
      <c r="AC1357" s="159">
        <v>49986</v>
      </c>
      <c r="AD1357" s="161">
        <v>53</v>
      </c>
      <c r="AE1357" s="161">
        <v>9</v>
      </c>
      <c r="AF1357" s="161">
        <v>36</v>
      </c>
      <c r="AG1357" s="161">
        <v>5</v>
      </c>
    </row>
    <row r="1358" spans="29:33" x14ac:dyDescent="0.15">
      <c r="AC1358" s="159">
        <v>50015</v>
      </c>
      <c r="AD1358" s="161">
        <v>53</v>
      </c>
      <c r="AE1358" s="161">
        <v>9</v>
      </c>
      <c r="AF1358" s="161">
        <v>37</v>
      </c>
      <c r="AG1358" s="161">
        <v>4</v>
      </c>
    </row>
    <row r="1359" spans="29:33" x14ac:dyDescent="0.15">
      <c r="AC1359" s="159">
        <v>50045</v>
      </c>
      <c r="AD1359" s="161">
        <v>53</v>
      </c>
      <c r="AE1359" s="161">
        <v>9</v>
      </c>
      <c r="AF1359" s="161">
        <v>38</v>
      </c>
      <c r="AG1359" s="161">
        <v>3</v>
      </c>
    </row>
    <row r="1360" spans="29:33" x14ac:dyDescent="0.15">
      <c r="AC1360" s="159">
        <v>50074</v>
      </c>
      <c r="AD1360" s="161">
        <v>54</v>
      </c>
      <c r="AE1360" s="161">
        <v>8</v>
      </c>
      <c r="AF1360" s="161">
        <v>39</v>
      </c>
      <c r="AG1360" s="161">
        <v>2</v>
      </c>
    </row>
    <row r="1361" spans="29:33" x14ac:dyDescent="0.15">
      <c r="AC1361" s="159">
        <v>50104</v>
      </c>
      <c r="AD1361" s="161">
        <v>54</v>
      </c>
      <c r="AE1361" s="161">
        <v>8</v>
      </c>
      <c r="AF1361" s="161">
        <v>40</v>
      </c>
      <c r="AG1361" s="161">
        <v>1</v>
      </c>
    </row>
    <row r="1362" spans="29:33" x14ac:dyDescent="0.15">
      <c r="AC1362" s="159">
        <v>50134</v>
      </c>
      <c r="AD1362" s="161">
        <v>54</v>
      </c>
      <c r="AE1362" s="161">
        <v>8</v>
      </c>
      <c r="AF1362" s="161">
        <v>41</v>
      </c>
      <c r="AG1362" s="161">
        <v>9</v>
      </c>
    </row>
    <row r="1363" spans="29:33" x14ac:dyDescent="0.15">
      <c r="AC1363" s="159">
        <v>50165</v>
      </c>
      <c r="AD1363" s="161">
        <v>54</v>
      </c>
      <c r="AE1363" s="161">
        <v>8</v>
      </c>
      <c r="AF1363" s="161">
        <v>42</v>
      </c>
      <c r="AG1363" s="161">
        <v>8</v>
      </c>
    </row>
    <row r="1364" spans="29:33" x14ac:dyDescent="0.15">
      <c r="AC1364" s="159">
        <v>50196</v>
      </c>
      <c r="AD1364" s="161">
        <v>54</v>
      </c>
      <c r="AE1364" s="161">
        <v>8</v>
      </c>
      <c r="AF1364" s="161">
        <v>43</v>
      </c>
      <c r="AG1364" s="161">
        <v>7</v>
      </c>
    </row>
    <row r="1365" spans="29:33" x14ac:dyDescent="0.15">
      <c r="AC1365" s="159">
        <v>50228</v>
      </c>
      <c r="AD1365" s="161">
        <v>54</v>
      </c>
      <c r="AE1365" s="161">
        <v>8</v>
      </c>
      <c r="AF1365" s="161">
        <v>44</v>
      </c>
      <c r="AG1365" s="161">
        <v>6</v>
      </c>
    </row>
    <row r="1366" spans="29:33" x14ac:dyDescent="0.15">
      <c r="AC1366" s="159">
        <v>50259</v>
      </c>
      <c r="AD1366" s="161">
        <v>54</v>
      </c>
      <c r="AE1366" s="161">
        <v>8</v>
      </c>
      <c r="AF1366" s="161">
        <v>45</v>
      </c>
      <c r="AG1366" s="161">
        <v>5</v>
      </c>
    </row>
    <row r="1367" spans="29:33" x14ac:dyDescent="0.15">
      <c r="AC1367" s="159">
        <v>50290</v>
      </c>
      <c r="AD1367" s="161">
        <v>54</v>
      </c>
      <c r="AE1367" s="161">
        <v>8</v>
      </c>
      <c r="AF1367" s="161">
        <v>46</v>
      </c>
      <c r="AG1367" s="161">
        <v>4</v>
      </c>
    </row>
    <row r="1368" spans="29:33" x14ac:dyDescent="0.15">
      <c r="AC1368" s="159">
        <v>50321</v>
      </c>
      <c r="AD1368" s="161">
        <v>54</v>
      </c>
      <c r="AE1368" s="161">
        <v>8</v>
      </c>
      <c r="AF1368" s="161">
        <v>47</v>
      </c>
      <c r="AG1368" s="161">
        <v>3</v>
      </c>
    </row>
    <row r="1369" spans="29:33" x14ac:dyDescent="0.15">
      <c r="AC1369" s="159">
        <v>50351</v>
      </c>
      <c r="AD1369" s="161">
        <v>54</v>
      </c>
      <c r="AE1369" s="161">
        <v>8</v>
      </c>
      <c r="AF1369" s="161">
        <v>48</v>
      </c>
      <c r="AG1369" s="161">
        <v>2</v>
      </c>
    </row>
    <row r="1370" spans="29:33" x14ac:dyDescent="0.15">
      <c r="AC1370" s="159">
        <v>50381</v>
      </c>
      <c r="AD1370" s="161">
        <v>54</v>
      </c>
      <c r="AE1370" s="161">
        <v>8</v>
      </c>
      <c r="AF1370" s="161">
        <v>49</v>
      </c>
      <c r="AG1370" s="161">
        <v>1</v>
      </c>
    </row>
    <row r="1371" spans="29:33" x14ac:dyDescent="0.15">
      <c r="AC1371" s="159">
        <v>50410</v>
      </c>
      <c r="AD1371" s="161">
        <v>54</v>
      </c>
      <c r="AE1371" s="161">
        <v>8</v>
      </c>
      <c r="AF1371" s="161">
        <v>50</v>
      </c>
      <c r="AG1371" s="161">
        <v>9</v>
      </c>
    </row>
    <row r="1372" spans="29:33" x14ac:dyDescent="0.15">
      <c r="AC1372" s="159">
        <v>50440</v>
      </c>
      <c r="AD1372" s="161">
        <v>55</v>
      </c>
      <c r="AE1372" s="161">
        <v>7</v>
      </c>
      <c r="AF1372" s="161">
        <v>51</v>
      </c>
      <c r="AG1372" s="161">
        <v>8</v>
      </c>
    </row>
    <row r="1373" spans="29:33" x14ac:dyDescent="0.15">
      <c r="AC1373" s="159">
        <v>50469</v>
      </c>
      <c r="AD1373" s="161">
        <v>55</v>
      </c>
      <c r="AE1373" s="161">
        <v>7</v>
      </c>
      <c r="AF1373" s="161">
        <v>52</v>
      </c>
      <c r="AG1373" s="161">
        <v>7</v>
      </c>
    </row>
    <row r="1374" spans="29:33" x14ac:dyDescent="0.15">
      <c r="AC1374" s="159">
        <v>50500</v>
      </c>
      <c r="AD1374" s="161">
        <v>55</v>
      </c>
      <c r="AE1374" s="161">
        <v>7</v>
      </c>
      <c r="AF1374" s="161">
        <v>53</v>
      </c>
      <c r="AG1374" s="161">
        <v>6</v>
      </c>
    </row>
    <row r="1375" spans="29:33" x14ac:dyDescent="0.15">
      <c r="AC1375" s="159">
        <v>50530</v>
      </c>
      <c r="AD1375" s="161">
        <v>55</v>
      </c>
      <c r="AE1375" s="161">
        <v>7</v>
      </c>
      <c r="AF1375" s="161">
        <v>54</v>
      </c>
      <c r="AG1375" s="161">
        <v>5</v>
      </c>
    </row>
    <row r="1376" spans="29:33" x14ac:dyDescent="0.15">
      <c r="AC1376" s="159">
        <v>50561</v>
      </c>
      <c r="AD1376" s="161">
        <v>55</v>
      </c>
      <c r="AE1376" s="161">
        <v>7</v>
      </c>
      <c r="AF1376" s="161">
        <v>55</v>
      </c>
      <c r="AG1376" s="161">
        <v>4</v>
      </c>
    </row>
    <row r="1377" spans="29:33" x14ac:dyDescent="0.15">
      <c r="AC1377" s="159">
        <v>50593</v>
      </c>
      <c r="AD1377" s="161">
        <v>55</v>
      </c>
      <c r="AE1377" s="161">
        <v>7</v>
      </c>
      <c r="AF1377" s="161">
        <v>56</v>
      </c>
      <c r="AG1377" s="161">
        <v>3</v>
      </c>
    </row>
    <row r="1378" spans="29:33" x14ac:dyDescent="0.15">
      <c r="AC1378" s="159">
        <v>50624</v>
      </c>
      <c r="AD1378" s="161">
        <v>55</v>
      </c>
      <c r="AE1378" s="161">
        <v>7</v>
      </c>
      <c r="AF1378" s="161">
        <v>57</v>
      </c>
      <c r="AG1378" s="161">
        <v>2</v>
      </c>
    </row>
    <row r="1379" spans="29:33" x14ac:dyDescent="0.15">
      <c r="AC1379" s="159">
        <v>50655</v>
      </c>
      <c r="AD1379" s="161">
        <v>55</v>
      </c>
      <c r="AE1379" s="161">
        <v>7</v>
      </c>
      <c r="AF1379" s="161">
        <v>58</v>
      </c>
      <c r="AG1379" s="161">
        <v>1</v>
      </c>
    </row>
    <row r="1380" spans="29:33" x14ac:dyDescent="0.15">
      <c r="AC1380" s="159">
        <v>50686</v>
      </c>
      <c r="AD1380" s="161">
        <v>55</v>
      </c>
      <c r="AE1380" s="161">
        <v>7</v>
      </c>
      <c r="AF1380" s="161">
        <v>59</v>
      </c>
      <c r="AG1380" s="161">
        <v>9</v>
      </c>
    </row>
    <row r="1381" spans="29:33" x14ac:dyDescent="0.15">
      <c r="AC1381" s="159">
        <v>50716</v>
      </c>
      <c r="AD1381" s="161">
        <v>55</v>
      </c>
      <c r="AE1381" s="161">
        <v>7</v>
      </c>
      <c r="AF1381" s="161">
        <v>60</v>
      </c>
      <c r="AG1381" s="161">
        <v>8</v>
      </c>
    </row>
    <row r="1382" spans="29:33" x14ac:dyDescent="0.15">
      <c r="AC1382" s="159">
        <v>50746</v>
      </c>
      <c r="AD1382" s="161">
        <v>55</v>
      </c>
      <c r="AE1382" s="161">
        <v>7</v>
      </c>
      <c r="AF1382" s="161">
        <v>1</v>
      </c>
      <c r="AG1382" s="161">
        <v>7</v>
      </c>
    </row>
    <row r="1383" spans="29:33" x14ac:dyDescent="0.15">
      <c r="AC1383" s="159">
        <v>50775</v>
      </c>
      <c r="AD1383" s="161">
        <v>55</v>
      </c>
      <c r="AE1383" s="161">
        <v>7</v>
      </c>
      <c r="AF1383" s="161">
        <v>2</v>
      </c>
      <c r="AG1383" s="161">
        <v>6</v>
      </c>
    </row>
    <row r="1384" spans="29:33" x14ac:dyDescent="0.15">
      <c r="AC1384" s="159">
        <v>50805</v>
      </c>
      <c r="AD1384" s="161">
        <v>56</v>
      </c>
      <c r="AE1384" s="161">
        <v>6</v>
      </c>
      <c r="AF1384" s="161">
        <v>3</v>
      </c>
      <c r="AG1384" s="161">
        <v>5</v>
      </c>
    </row>
    <row r="1385" spans="29:33" x14ac:dyDescent="0.15">
      <c r="AC1385" s="159">
        <v>50835</v>
      </c>
      <c r="AD1385" s="161">
        <v>56</v>
      </c>
      <c r="AE1385" s="161">
        <v>6</v>
      </c>
      <c r="AF1385" s="161">
        <v>4</v>
      </c>
      <c r="AG1385" s="161">
        <v>4</v>
      </c>
    </row>
    <row r="1386" spans="29:33" x14ac:dyDescent="0.15">
      <c r="AC1386" s="159">
        <v>50865</v>
      </c>
      <c r="AD1386" s="161">
        <v>56</v>
      </c>
      <c r="AE1386" s="161">
        <v>6</v>
      </c>
      <c r="AF1386" s="161">
        <v>5</v>
      </c>
      <c r="AG1386" s="161">
        <v>3</v>
      </c>
    </row>
    <row r="1387" spans="29:33" x14ac:dyDescent="0.15">
      <c r="AC1387" s="159">
        <v>50896</v>
      </c>
      <c r="AD1387" s="161">
        <v>56</v>
      </c>
      <c r="AE1387" s="161">
        <v>6</v>
      </c>
      <c r="AF1387" s="161">
        <v>6</v>
      </c>
      <c r="AG1387" s="161">
        <v>2</v>
      </c>
    </row>
    <row r="1388" spans="29:33" x14ac:dyDescent="0.15">
      <c r="AC1388" s="159">
        <v>50927</v>
      </c>
      <c r="AD1388" s="161">
        <v>56</v>
      </c>
      <c r="AE1388" s="161">
        <v>6</v>
      </c>
      <c r="AF1388" s="161">
        <v>7</v>
      </c>
      <c r="AG1388" s="161">
        <v>1</v>
      </c>
    </row>
    <row r="1389" spans="29:33" x14ac:dyDescent="0.15">
      <c r="AC1389" s="159">
        <v>50958</v>
      </c>
      <c r="AD1389" s="161">
        <v>56</v>
      </c>
      <c r="AE1389" s="161">
        <v>6</v>
      </c>
      <c r="AF1389" s="161">
        <v>8</v>
      </c>
      <c r="AG1389" s="161">
        <v>9</v>
      </c>
    </row>
    <row r="1390" spans="29:33" x14ac:dyDescent="0.15">
      <c r="AC1390" s="159">
        <v>50990</v>
      </c>
      <c r="AD1390" s="161">
        <v>56</v>
      </c>
      <c r="AE1390" s="161">
        <v>6</v>
      </c>
      <c r="AF1390" s="161">
        <v>9</v>
      </c>
      <c r="AG1390" s="161">
        <v>8</v>
      </c>
    </row>
    <row r="1391" spans="29:33" x14ac:dyDescent="0.15">
      <c r="AC1391" s="159">
        <v>51021</v>
      </c>
      <c r="AD1391" s="161">
        <v>56</v>
      </c>
      <c r="AE1391" s="161">
        <v>6</v>
      </c>
      <c r="AF1391" s="161">
        <v>10</v>
      </c>
      <c r="AG1391" s="161">
        <v>7</v>
      </c>
    </row>
    <row r="1392" spans="29:33" x14ac:dyDescent="0.15">
      <c r="AC1392" s="159">
        <v>51051</v>
      </c>
      <c r="AD1392" s="161">
        <v>56</v>
      </c>
      <c r="AE1392" s="161">
        <v>6</v>
      </c>
      <c r="AF1392" s="161">
        <v>11</v>
      </c>
      <c r="AG1392" s="161">
        <v>6</v>
      </c>
    </row>
    <row r="1393" spans="29:33" x14ac:dyDescent="0.15">
      <c r="AC1393" s="159">
        <v>51081</v>
      </c>
      <c r="AD1393" s="161">
        <v>56</v>
      </c>
      <c r="AE1393" s="161">
        <v>6</v>
      </c>
      <c r="AF1393" s="161">
        <v>12</v>
      </c>
      <c r="AG1393" s="161">
        <v>5</v>
      </c>
    </row>
    <row r="1394" spans="29:33" x14ac:dyDescent="0.15">
      <c r="AC1394" s="159">
        <v>51111</v>
      </c>
      <c r="AD1394" s="161">
        <v>56</v>
      </c>
      <c r="AE1394" s="161">
        <v>6</v>
      </c>
      <c r="AF1394" s="161">
        <v>13</v>
      </c>
      <c r="AG1394" s="161">
        <v>4</v>
      </c>
    </row>
    <row r="1395" spans="29:33" x14ac:dyDescent="0.15">
      <c r="AC1395" s="159">
        <v>51141</v>
      </c>
      <c r="AD1395" s="161">
        <v>56</v>
      </c>
      <c r="AE1395" s="161">
        <v>6</v>
      </c>
      <c r="AF1395" s="161">
        <v>14</v>
      </c>
      <c r="AG1395" s="161">
        <v>3</v>
      </c>
    </row>
    <row r="1396" spans="29:33" x14ac:dyDescent="0.15">
      <c r="AC1396" s="159">
        <v>51170</v>
      </c>
      <c r="AD1396" s="161">
        <v>57</v>
      </c>
      <c r="AE1396" s="161">
        <v>5</v>
      </c>
      <c r="AF1396" s="161">
        <v>15</v>
      </c>
      <c r="AG1396" s="161">
        <v>2</v>
      </c>
    </row>
    <row r="1397" spans="29:33" x14ac:dyDescent="0.15">
      <c r="AC1397" s="159">
        <v>51200</v>
      </c>
      <c r="AD1397" s="161">
        <v>57</v>
      </c>
      <c r="AE1397" s="161">
        <v>5</v>
      </c>
      <c r="AF1397" s="161">
        <v>16</v>
      </c>
      <c r="AG1397" s="161">
        <v>1</v>
      </c>
    </row>
    <row r="1398" spans="29:33" x14ac:dyDescent="0.15">
      <c r="AC1398" s="159">
        <v>51230</v>
      </c>
      <c r="AD1398" s="161">
        <v>57</v>
      </c>
      <c r="AE1398" s="161">
        <v>5</v>
      </c>
      <c r="AF1398" s="161">
        <v>17</v>
      </c>
      <c r="AG1398" s="161">
        <v>9</v>
      </c>
    </row>
    <row r="1399" spans="29:33" x14ac:dyDescent="0.15">
      <c r="AC1399" s="159">
        <v>51261</v>
      </c>
      <c r="AD1399" s="161">
        <v>57</v>
      </c>
      <c r="AE1399" s="161">
        <v>5</v>
      </c>
      <c r="AF1399" s="161">
        <v>18</v>
      </c>
      <c r="AG1399" s="161">
        <v>8</v>
      </c>
    </row>
    <row r="1400" spans="29:33" x14ac:dyDescent="0.15">
      <c r="AC1400" s="159">
        <v>51292</v>
      </c>
      <c r="AD1400" s="161">
        <v>57</v>
      </c>
      <c r="AE1400" s="161">
        <v>5</v>
      </c>
      <c r="AF1400" s="161">
        <v>19</v>
      </c>
      <c r="AG1400" s="161">
        <v>7</v>
      </c>
    </row>
    <row r="1401" spans="29:33" x14ac:dyDescent="0.15">
      <c r="AC1401" s="159">
        <v>51323</v>
      </c>
      <c r="AD1401" s="161">
        <v>57</v>
      </c>
      <c r="AE1401" s="161">
        <v>5</v>
      </c>
      <c r="AF1401" s="161">
        <v>20</v>
      </c>
      <c r="AG1401" s="161">
        <v>6</v>
      </c>
    </row>
    <row r="1402" spans="29:33" x14ac:dyDescent="0.15">
      <c r="AC1402" s="159">
        <v>51355</v>
      </c>
      <c r="AD1402" s="161">
        <v>57</v>
      </c>
      <c r="AE1402" s="161">
        <v>5</v>
      </c>
      <c r="AF1402" s="161">
        <v>21</v>
      </c>
      <c r="AG1402" s="161">
        <v>5</v>
      </c>
    </row>
    <row r="1403" spans="29:33" x14ac:dyDescent="0.15">
      <c r="AC1403" s="159">
        <v>51386</v>
      </c>
      <c r="AD1403" s="161">
        <v>57</v>
      </c>
      <c r="AE1403" s="161">
        <v>5</v>
      </c>
      <c r="AF1403" s="161">
        <v>22</v>
      </c>
      <c r="AG1403" s="161">
        <v>4</v>
      </c>
    </row>
    <row r="1404" spans="29:33" x14ac:dyDescent="0.15">
      <c r="AC1404" s="159">
        <v>51417</v>
      </c>
      <c r="AD1404" s="161">
        <v>57</v>
      </c>
      <c r="AE1404" s="161">
        <v>5</v>
      </c>
      <c r="AF1404" s="161">
        <v>23</v>
      </c>
      <c r="AG1404" s="161">
        <v>3</v>
      </c>
    </row>
    <row r="1405" spans="29:33" x14ac:dyDescent="0.15">
      <c r="AC1405" s="159">
        <v>51447</v>
      </c>
      <c r="AD1405" s="161">
        <v>57</v>
      </c>
      <c r="AE1405" s="161">
        <v>5</v>
      </c>
      <c r="AF1405" s="161">
        <v>24</v>
      </c>
      <c r="AG1405" s="161">
        <v>2</v>
      </c>
    </row>
    <row r="1406" spans="29:33" x14ac:dyDescent="0.15">
      <c r="AC1406" s="159">
        <v>51476</v>
      </c>
      <c r="AD1406" s="161">
        <v>57</v>
      </c>
      <c r="AE1406" s="161">
        <v>5</v>
      </c>
      <c r="AF1406" s="161">
        <v>25</v>
      </c>
      <c r="AG1406" s="161">
        <v>1</v>
      </c>
    </row>
    <row r="1407" spans="29:33" x14ac:dyDescent="0.15">
      <c r="AC1407" s="159">
        <v>51506</v>
      </c>
      <c r="AD1407" s="161">
        <v>57</v>
      </c>
      <c r="AE1407" s="161">
        <v>5</v>
      </c>
      <c r="AF1407" s="161">
        <v>26</v>
      </c>
      <c r="AG1407" s="161">
        <v>9</v>
      </c>
    </row>
    <row r="1408" spans="29:33" x14ac:dyDescent="0.15">
      <c r="AC1408" s="159">
        <v>51535</v>
      </c>
      <c r="AD1408" s="161">
        <v>58</v>
      </c>
      <c r="AE1408" s="161">
        <v>5</v>
      </c>
      <c r="AF1408" s="161">
        <v>27</v>
      </c>
      <c r="AG1408" s="161">
        <v>8</v>
      </c>
    </row>
    <row r="1409" spans="29:33" x14ac:dyDescent="0.15">
      <c r="AC1409" s="159">
        <v>51565</v>
      </c>
      <c r="AD1409" s="161">
        <v>58</v>
      </c>
      <c r="AE1409" s="161">
        <v>5</v>
      </c>
      <c r="AF1409" s="161">
        <v>28</v>
      </c>
      <c r="AG1409" s="161">
        <v>7</v>
      </c>
    </row>
    <row r="1410" spans="29:33" x14ac:dyDescent="0.15">
      <c r="AC1410" s="159">
        <v>51595</v>
      </c>
      <c r="AD1410" s="161">
        <v>58</v>
      </c>
      <c r="AE1410" s="161">
        <v>4</v>
      </c>
      <c r="AF1410" s="161">
        <v>29</v>
      </c>
      <c r="AG1410" s="161">
        <v>6</v>
      </c>
    </row>
    <row r="1411" spans="29:33" x14ac:dyDescent="0.15">
      <c r="AC1411" s="159">
        <v>51626</v>
      </c>
      <c r="AD1411" s="161">
        <v>58</v>
      </c>
      <c r="AE1411" s="161">
        <v>4</v>
      </c>
      <c r="AF1411" s="161">
        <v>30</v>
      </c>
      <c r="AG1411" s="161">
        <v>5</v>
      </c>
    </row>
    <row r="1412" spans="29:33" x14ac:dyDescent="0.15">
      <c r="AC1412" s="159">
        <v>51657</v>
      </c>
      <c r="AD1412" s="161">
        <v>58</v>
      </c>
      <c r="AE1412" s="161">
        <v>4</v>
      </c>
      <c r="AF1412" s="161">
        <v>31</v>
      </c>
      <c r="AG1412" s="161">
        <v>4</v>
      </c>
    </row>
    <row r="1413" spans="29:33" x14ac:dyDescent="0.15">
      <c r="AC1413" s="159">
        <v>51689</v>
      </c>
      <c r="AD1413" s="161">
        <v>58</v>
      </c>
      <c r="AE1413" s="161">
        <v>4</v>
      </c>
      <c r="AF1413" s="161">
        <v>32</v>
      </c>
      <c r="AG1413" s="161">
        <v>3</v>
      </c>
    </row>
    <row r="1414" spans="29:33" x14ac:dyDescent="0.15">
      <c r="AC1414" s="159">
        <v>51720</v>
      </c>
      <c r="AD1414" s="161">
        <v>58</v>
      </c>
      <c r="AE1414" s="161">
        <v>4</v>
      </c>
      <c r="AF1414" s="161">
        <v>33</v>
      </c>
      <c r="AG1414" s="161">
        <v>2</v>
      </c>
    </row>
    <row r="1415" spans="29:33" x14ac:dyDescent="0.15">
      <c r="AC1415" s="159">
        <v>51751</v>
      </c>
      <c r="AD1415" s="161">
        <v>58</v>
      </c>
      <c r="AE1415" s="161">
        <v>4</v>
      </c>
      <c r="AF1415" s="161">
        <v>34</v>
      </c>
      <c r="AG1415" s="161">
        <v>1</v>
      </c>
    </row>
    <row r="1416" spans="29:33" x14ac:dyDescent="0.15">
      <c r="AC1416" s="159">
        <v>51782</v>
      </c>
      <c r="AD1416" s="161">
        <v>58</v>
      </c>
      <c r="AE1416" s="161">
        <v>4</v>
      </c>
      <c r="AF1416" s="161">
        <v>35</v>
      </c>
      <c r="AG1416" s="161">
        <v>9</v>
      </c>
    </row>
    <row r="1417" spans="29:33" x14ac:dyDescent="0.15">
      <c r="AC1417" s="159">
        <v>51812</v>
      </c>
      <c r="AD1417" s="161">
        <v>58</v>
      </c>
      <c r="AE1417" s="161">
        <v>4</v>
      </c>
      <c r="AF1417" s="161">
        <v>36</v>
      </c>
      <c r="AG1417" s="161">
        <v>8</v>
      </c>
    </row>
    <row r="1418" spans="29:33" x14ac:dyDescent="0.15">
      <c r="AC1418" s="159">
        <v>51842</v>
      </c>
      <c r="AD1418" s="161">
        <v>58</v>
      </c>
      <c r="AE1418" s="161">
        <v>4</v>
      </c>
      <c r="AF1418" s="161">
        <v>37</v>
      </c>
      <c r="AG1418" s="161">
        <v>7</v>
      </c>
    </row>
    <row r="1419" spans="29:33" x14ac:dyDescent="0.15">
      <c r="AC1419" s="159">
        <v>51871</v>
      </c>
      <c r="AD1419" s="161">
        <v>58</v>
      </c>
      <c r="AE1419" s="161">
        <v>4</v>
      </c>
      <c r="AF1419" s="161">
        <v>38</v>
      </c>
      <c r="AG1419" s="161">
        <v>6</v>
      </c>
    </row>
    <row r="1420" spans="29:33" x14ac:dyDescent="0.15">
      <c r="AC1420" s="159">
        <v>51901</v>
      </c>
      <c r="AD1420" s="161">
        <v>59</v>
      </c>
      <c r="AE1420" s="161">
        <v>3</v>
      </c>
      <c r="AF1420" s="161">
        <v>39</v>
      </c>
      <c r="AG1420" s="161">
        <v>5</v>
      </c>
    </row>
    <row r="1421" spans="29:33" x14ac:dyDescent="0.15">
      <c r="AC1421" s="159">
        <v>51930</v>
      </c>
      <c r="AD1421" s="161">
        <v>59</v>
      </c>
      <c r="AE1421" s="161">
        <v>3</v>
      </c>
      <c r="AF1421" s="161">
        <v>40</v>
      </c>
      <c r="AG1421" s="161">
        <v>4</v>
      </c>
    </row>
    <row r="1422" spans="29:33" x14ac:dyDescent="0.15">
      <c r="AC1422" s="159">
        <v>51961</v>
      </c>
      <c r="AD1422" s="161">
        <v>59</v>
      </c>
      <c r="AE1422" s="161">
        <v>3</v>
      </c>
      <c r="AF1422" s="161">
        <v>41</v>
      </c>
      <c r="AG1422" s="161">
        <v>3</v>
      </c>
    </row>
    <row r="1423" spans="29:33" x14ac:dyDescent="0.15">
      <c r="AC1423" s="159">
        <v>51991</v>
      </c>
      <c r="AD1423" s="161">
        <v>59</v>
      </c>
      <c r="AE1423" s="161">
        <v>3</v>
      </c>
      <c r="AF1423" s="161">
        <v>42</v>
      </c>
      <c r="AG1423" s="161">
        <v>2</v>
      </c>
    </row>
    <row r="1424" spans="29:33" x14ac:dyDescent="0.15">
      <c r="AC1424" s="159">
        <v>52022</v>
      </c>
      <c r="AD1424" s="161">
        <v>59</v>
      </c>
      <c r="AE1424" s="161">
        <v>3</v>
      </c>
      <c r="AF1424" s="161">
        <v>43</v>
      </c>
      <c r="AG1424" s="161">
        <v>1</v>
      </c>
    </row>
    <row r="1425" spans="29:33" x14ac:dyDescent="0.15">
      <c r="AC1425" s="159">
        <v>52054</v>
      </c>
      <c r="AD1425" s="161">
        <v>59</v>
      </c>
      <c r="AE1425" s="161">
        <v>3</v>
      </c>
      <c r="AF1425" s="161">
        <v>44</v>
      </c>
      <c r="AG1425" s="161">
        <v>9</v>
      </c>
    </row>
    <row r="1426" spans="29:33" x14ac:dyDescent="0.15">
      <c r="AC1426" s="159">
        <v>52085</v>
      </c>
      <c r="AD1426" s="161">
        <v>59</v>
      </c>
      <c r="AE1426" s="161">
        <v>3</v>
      </c>
      <c r="AF1426" s="161">
        <v>45</v>
      </c>
      <c r="AG1426" s="161">
        <v>8</v>
      </c>
    </row>
    <row r="1427" spans="29:33" x14ac:dyDescent="0.15">
      <c r="AC1427" s="159">
        <v>52116</v>
      </c>
      <c r="AD1427" s="161">
        <v>59</v>
      </c>
      <c r="AE1427" s="161">
        <v>3</v>
      </c>
      <c r="AF1427" s="161">
        <v>46</v>
      </c>
      <c r="AG1427" s="161">
        <v>7</v>
      </c>
    </row>
    <row r="1428" spans="29:33" x14ac:dyDescent="0.15">
      <c r="AC1428" s="159">
        <v>52147</v>
      </c>
      <c r="AD1428" s="161">
        <v>59</v>
      </c>
      <c r="AE1428" s="161">
        <v>3</v>
      </c>
      <c r="AF1428" s="161">
        <v>47</v>
      </c>
      <c r="AG1428" s="161">
        <v>6</v>
      </c>
    </row>
    <row r="1429" spans="29:33" x14ac:dyDescent="0.15">
      <c r="AC1429" s="159">
        <v>52177</v>
      </c>
      <c r="AD1429" s="161">
        <v>59</v>
      </c>
      <c r="AE1429" s="161">
        <v>3</v>
      </c>
      <c r="AF1429" s="161">
        <v>48</v>
      </c>
      <c r="AG1429" s="161">
        <v>5</v>
      </c>
    </row>
    <row r="1430" spans="29:33" x14ac:dyDescent="0.15">
      <c r="AC1430" s="159">
        <v>52207</v>
      </c>
      <c r="AD1430" s="161">
        <v>59</v>
      </c>
      <c r="AE1430" s="161">
        <v>3</v>
      </c>
      <c r="AF1430" s="161">
        <v>49</v>
      </c>
      <c r="AG1430" s="161">
        <v>4</v>
      </c>
    </row>
    <row r="1431" spans="29:33" x14ac:dyDescent="0.15">
      <c r="AC1431" s="159">
        <v>52236</v>
      </c>
      <c r="AD1431" s="161">
        <v>59</v>
      </c>
      <c r="AE1431" s="161">
        <v>3</v>
      </c>
      <c r="AF1431" s="161">
        <v>50</v>
      </c>
      <c r="AG1431" s="161">
        <v>3</v>
      </c>
    </row>
    <row r="1432" spans="29:33" x14ac:dyDescent="0.15">
      <c r="AC1432" s="159">
        <v>52266</v>
      </c>
      <c r="AD1432" s="161">
        <v>60</v>
      </c>
      <c r="AE1432" s="161">
        <v>2</v>
      </c>
      <c r="AF1432" s="161">
        <v>51</v>
      </c>
      <c r="AG1432" s="161">
        <v>2</v>
      </c>
    </row>
    <row r="1433" spans="29:33" x14ac:dyDescent="0.15">
      <c r="AC1433" s="159">
        <v>52296</v>
      </c>
      <c r="AD1433" s="161">
        <v>60</v>
      </c>
      <c r="AE1433" s="161">
        <v>2</v>
      </c>
      <c r="AF1433" s="161">
        <v>52</v>
      </c>
      <c r="AG1433" s="161">
        <v>1</v>
      </c>
    </row>
    <row r="1434" spans="29:33" x14ac:dyDescent="0.15">
      <c r="AC1434" s="159">
        <v>52326</v>
      </c>
      <c r="AD1434" s="161">
        <v>60</v>
      </c>
      <c r="AE1434" s="161">
        <v>2</v>
      </c>
      <c r="AF1434" s="161">
        <v>53</v>
      </c>
      <c r="AG1434" s="161">
        <v>9</v>
      </c>
    </row>
    <row r="1435" spans="29:33" x14ac:dyDescent="0.15">
      <c r="AC1435" s="159">
        <v>52356</v>
      </c>
      <c r="AD1435" s="161">
        <v>60</v>
      </c>
      <c r="AE1435" s="161">
        <v>2</v>
      </c>
      <c r="AF1435" s="161">
        <v>54</v>
      </c>
      <c r="AG1435" s="161">
        <v>8</v>
      </c>
    </row>
    <row r="1436" spans="29:33" x14ac:dyDescent="0.15">
      <c r="AC1436" s="159">
        <v>52388</v>
      </c>
      <c r="AD1436" s="161">
        <v>60</v>
      </c>
      <c r="AE1436" s="161">
        <v>2</v>
      </c>
      <c r="AF1436" s="161">
        <v>55</v>
      </c>
      <c r="AG1436" s="161">
        <v>7</v>
      </c>
    </row>
    <row r="1437" spans="29:33" x14ac:dyDescent="0.15">
      <c r="AC1437" s="159">
        <v>52419</v>
      </c>
      <c r="AD1437" s="161">
        <v>60</v>
      </c>
      <c r="AE1437" s="161">
        <v>2</v>
      </c>
      <c r="AF1437" s="161">
        <v>56</v>
      </c>
      <c r="AG1437" s="161">
        <v>6</v>
      </c>
    </row>
    <row r="1438" spans="29:33" x14ac:dyDescent="0.15">
      <c r="AC1438" s="159">
        <v>52450</v>
      </c>
      <c r="AD1438" s="161">
        <v>60</v>
      </c>
      <c r="AE1438" s="161">
        <v>2</v>
      </c>
      <c r="AF1438" s="161">
        <v>57</v>
      </c>
      <c r="AG1438" s="161">
        <v>5</v>
      </c>
    </row>
    <row r="1439" spans="29:33" x14ac:dyDescent="0.15">
      <c r="AC1439" s="159">
        <v>52482</v>
      </c>
      <c r="AD1439" s="161">
        <v>60</v>
      </c>
      <c r="AE1439" s="161">
        <v>2</v>
      </c>
      <c r="AF1439" s="161">
        <v>58</v>
      </c>
      <c r="AG1439" s="161">
        <v>4</v>
      </c>
    </row>
    <row r="1440" spans="29:33" x14ac:dyDescent="0.15">
      <c r="AC1440" s="159">
        <v>52512</v>
      </c>
      <c r="AD1440" s="161">
        <v>60</v>
      </c>
      <c r="AE1440" s="161">
        <v>2</v>
      </c>
      <c r="AF1440" s="161">
        <v>59</v>
      </c>
      <c r="AG1440" s="161">
        <v>3</v>
      </c>
    </row>
    <row r="1441" spans="29:33" x14ac:dyDescent="0.15">
      <c r="AC1441" s="159">
        <v>52542</v>
      </c>
      <c r="AD1441" s="161">
        <v>60</v>
      </c>
      <c r="AE1441" s="161">
        <v>2</v>
      </c>
      <c r="AF1441" s="161">
        <v>60</v>
      </c>
      <c r="AG1441" s="161">
        <v>2</v>
      </c>
    </row>
    <row r="1442" spans="29:33" x14ac:dyDescent="0.15">
      <c r="AC1442" s="159">
        <v>52572</v>
      </c>
      <c r="AD1442" s="161">
        <v>60</v>
      </c>
      <c r="AE1442" s="161">
        <v>2</v>
      </c>
      <c r="AF1442" s="161">
        <v>1</v>
      </c>
      <c r="AG1442" s="161">
        <v>1</v>
      </c>
    </row>
    <row r="1443" spans="29:33" x14ac:dyDescent="0.15">
      <c r="AC1443" s="158">
        <v>52602</v>
      </c>
      <c r="AD1443" s="161">
        <v>60</v>
      </c>
      <c r="AE1443" s="161">
        <v>2</v>
      </c>
      <c r="AF1443" s="161">
        <v>2</v>
      </c>
      <c r="AG1443" s="161">
        <v>9</v>
      </c>
    </row>
    <row r="1444" spans="29:33" x14ac:dyDescent="0.15">
      <c r="AC1444" s="158">
        <v>52631</v>
      </c>
      <c r="AD1444" s="161">
        <v>1</v>
      </c>
      <c r="AE1444" s="161">
        <v>1</v>
      </c>
      <c r="AF1444" s="161">
        <v>3</v>
      </c>
      <c r="AG1444" s="161">
        <v>8</v>
      </c>
    </row>
    <row r="1445" spans="29:33" x14ac:dyDescent="0.15">
      <c r="AC1445" s="158">
        <v>52661</v>
      </c>
      <c r="AD1445" s="161">
        <v>1</v>
      </c>
      <c r="AE1445" s="161">
        <v>1</v>
      </c>
      <c r="AF1445" s="161">
        <v>4</v>
      </c>
      <c r="AG1445" s="161">
        <v>7</v>
      </c>
    </row>
    <row r="1446" spans="29:33" x14ac:dyDescent="0.15">
      <c r="AC1446" s="158">
        <v>52691</v>
      </c>
      <c r="AD1446" s="161">
        <v>1</v>
      </c>
      <c r="AE1446" s="161">
        <v>1</v>
      </c>
      <c r="AF1446" s="161">
        <v>5</v>
      </c>
      <c r="AG1446" s="161">
        <v>6</v>
      </c>
    </row>
    <row r="1447" spans="29:33" x14ac:dyDescent="0.15">
      <c r="AC1447" s="158">
        <v>52722</v>
      </c>
      <c r="AD1447" s="161">
        <v>1</v>
      </c>
      <c r="AE1447" s="161">
        <v>1</v>
      </c>
      <c r="AF1447" s="161">
        <v>6</v>
      </c>
      <c r="AG1447" s="161">
        <v>5</v>
      </c>
    </row>
    <row r="1448" spans="29:33" x14ac:dyDescent="0.15">
      <c r="AC1448" s="158">
        <v>52753</v>
      </c>
      <c r="AD1448" s="161">
        <v>1</v>
      </c>
      <c r="AE1448" s="161">
        <v>1</v>
      </c>
      <c r="AF1448" s="161">
        <v>7</v>
      </c>
      <c r="AG1448" s="161">
        <v>4</v>
      </c>
    </row>
    <row r="1449" spans="29:33" x14ac:dyDescent="0.15">
      <c r="AC1449" s="158">
        <v>52784</v>
      </c>
      <c r="AD1449" s="161">
        <v>1</v>
      </c>
      <c r="AE1449" s="161">
        <v>1</v>
      </c>
      <c r="AF1449" s="161">
        <v>8</v>
      </c>
      <c r="AG1449" s="161">
        <v>3</v>
      </c>
    </row>
    <row r="1450" spans="29:33" x14ac:dyDescent="0.15">
      <c r="AC1450" s="158">
        <v>52816</v>
      </c>
      <c r="AD1450" s="161">
        <v>1</v>
      </c>
      <c r="AE1450" s="161">
        <v>1</v>
      </c>
      <c r="AF1450" s="161">
        <v>9</v>
      </c>
      <c r="AG1450" s="161">
        <v>2</v>
      </c>
    </row>
    <row r="1451" spans="29:33" x14ac:dyDescent="0.15">
      <c r="AC1451" s="158">
        <v>52847</v>
      </c>
      <c r="AD1451" s="161">
        <v>1</v>
      </c>
      <c r="AE1451" s="161">
        <v>1</v>
      </c>
      <c r="AF1451" s="161">
        <v>10</v>
      </c>
      <c r="AG1451" s="161">
        <v>1</v>
      </c>
    </row>
    <row r="1452" spans="29:33" x14ac:dyDescent="0.15">
      <c r="AC1452" s="158">
        <v>52878</v>
      </c>
      <c r="AD1452" s="161">
        <v>1</v>
      </c>
      <c r="AE1452" s="161">
        <v>1</v>
      </c>
      <c r="AF1452" s="161">
        <v>11</v>
      </c>
      <c r="AG1452" s="161">
        <v>9</v>
      </c>
    </row>
    <row r="1453" spans="29:33" x14ac:dyDescent="0.15">
      <c r="AC1453" s="158">
        <v>52908</v>
      </c>
      <c r="AD1453" s="161">
        <v>1</v>
      </c>
      <c r="AE1453" s="161">
        <v>1</v>
      </c>
      <c r="AF1453" s="161">
        <v>12</v>
      </c>
      <c r="AG1453" s="161">
        <v>8</v>
      </c>
    </row>
    <row r="1454" spans="29:33" x14ac:dyDescent="0.15">
      <c r="AC1454" s="158">
        <v>52937</v>
      </c>
      <c r="AD1454" s="161">
        <v>1</v>
      </c>
      <c r="AE1454" s="161">
        <v>1</v>
      </c>
      <c r="AF1454" s="161">
        <v>13</v>
      </c>
      <c r="AG1454" s="161">
        <v>7</v>
      </c>
    </row>
    <row r="1455" spans="29:33" x14ac:dyDescent="0.15">
      <c r="AC1455" s="158">
        <v>52967</v>
      </c>
      <c r="AD1455" s="161">
        <v>1</v>
      </c>
      <c r="AE1455" s="161">
        <v>1</v>
      </c>
      <c r="AF1455" s="161">
        <v>14</v>
      </c>
      <c r="AG1455" s="161">
        <v>6</v>
      </c>
    </row>
    <row r="1456" spans="29:33" x14ac:dyDescent="0.15">
      <c r="AC1456" s="159">
        <v>52996</v>
      </c>
      <c r="AD1456" s="161">
        <v>2</v>
      </c>
      <c r="AE1456" s="161">
        <v>9</v>
      </c>
      <c r="AF1456" s="161">
        <v>15</v>
      </c>
      <c r="AG1456" s="161">
        <v>5</v>
      </c>
    </row>
    <row r="1457" spans="29:33" x14ac:dyDescent="0.15">
      <c r="AC1457" s="159">
        <v>53026</v>
      </c>
      <c r="AD1457" s="161">
        <v>2</v>
      </c>
      <c r="AE1457" s="161">
        <v>9</v>
      </c>
      <c r="AF1457" s="161">
        <v>16</v>
      </c>
      <c r="AG1457" s="161">
        <v>4</v>
      </c>
    </row>
    <row r="1458" spans="29:33" x14ac:dyDescent="0.15">
      <c r="AC1458" s="159">
        <v>53056</v>
      </c>
      <c r="AD1458" s="161">
        <v>2</v>
      </c>
      <c r="AE1458" s="161">
        <v>9</v>
      </c>
      <c r="AF1458" s="161">
        <v>17</v>
      </c>
      <c r="AG1458" s="161">
        <v>3</v>
      </c>
    </row>
    <row r="1459" spans="29:33" x14ac:dyDescent="0.15">
      <c r="AC1459" s="159">
        <v>53087</v>
      </c>
      <c r="AD1459" s="161">
        <v>2</v>
      </c>
      <c r="AE1459" s="161">
        <v>9</v>
      </c>
      <c r="AF1459" s="161">
        <v>18</v>
      </c>
      <c r="AG1459" s="161">
        <v>2</v>
      </c>
    </row>
    <row r="1460" spans="29:33" x14ac:dyDescent="0.15">
      <c r="AC1460" s="159">
        <v>53118</v>
      </c>
      <c r="AD1460" s="161">
        <v>2</v>
      </c>
      <c r="AE1460" s="161">
        <v>9</v>
      </c>
      <c r="AF1460" s="161">
        <v>19</v>
      </c>
      <c r="AG1460" s="161">
        <v>1</v>
      </c>
    </row>
    <row r="1461" spans="29:33" x14ac:dyDescent="0.15">
      <c r="AC1461" s="159">
        <v>53150</v>
      </c>
      <c r="AD1461" s="161">
        <v>2</v>
      </c>
      <c r="AE1461" s="161">
        <v>9</v>
      </c>
      <c r="AF1461" s="161">
        <v>20</v>
      </c>
      <c r="AG1461" s="161">
        <v>9</v>
      </c>
    </row>
    <row r="1462" spans="29:33" x14ac:dyDescent="0.15">
      <c r="AC1462" s="159">
        <v>53181</v>
      </c>
      <c r="AD1462" s="161">
        <v>2</v>
      </c>
      <c r="AE1462" s="161">
        <v>9</v>
      </c>
      <c r="AF1462" s="161">
        <v>21</v>
      </c>
      <c r="AG1462" s="161">
        <v>8</v>
      </c>
    </row>
    <row r="1463" spans="29:33" x14ac:dyDescent="0.15">
      <c r="AC1463" s="159">
        <v>53212</v>
      </c>
      <c r="AD1463" s="161">
        <v>2</v>
      </c>
      <c r="AE1463" s="161">
        <v>9</v>
      </c>
      <c r="AF1463" s="161">
        <v>22</v>
      </c>
      <c r="AG1463" s="161">
        <v>7</v>
      </c>
    </row>
    <row r="1464" spans="29:33" x14ac:dyDescent="0.15">
      <c r="AC1464" s="159">
        <v>53243</v>
      </c>
      <c r="AD1464" s="161">
        <v>2</v>
      </c>
      <c r="AE1464" s="161">
        <v>9</v>
      </c>
      <c r="AF1464" s="161">
        <v>23</v>
      </c>
      <c r="AG1464" s="161">
        <v>6</v>
      </c>
    </row>
    <row r="1465" spans="29:33" x14ac:dyDescent="0.15">
      <c r="AC1465" s="159">
        <v>53273</v>
      </c>
      <c r="AD1465" s="161">
        <v>2</v>
      </c>
      <c r="AE1465" s="161">
        <v>9</v>
      </c>
      <c r="AF1465" s="161">
        <v>24</v>
      </c>
      <c r="AG1465" s="161">
        <v>5</v>
      </c>
    </row>
    <row r="1466" spans="29:33" x14ac:dyDescent="0.15">
      <c r="AC1466" s="159">
        <v>53303</v>
      </c>
      <c r="AD1466" s="161">
        <v>2</v>
      </c>
      <c r="AE1466" s="161">
        <v>9</v>
      </c>
      <c r="AF1466" s="161">
        <v>25</v>
      </c>
      <c r="AG1466" s="161">
        <v>4</v>
      </c>
    </row>
    <row r="1467" spans="29:33" x14ac:dyDescent="0.15">
      <c r="AC1467" s="158">
        <v>53332</v>
      </c>
      <c r="AD1467" s="161">
        <v>2</v>
      </c>
      <c r="AE1467" s="161">
        <v>9</v>
      </c>
      <c r="AF1467" s="161">
        <v>26</v>
      </c>
      <c r="AG1467" s="161">
        <v>3</v>
      </c>
    </row>
    <row r="1468" spans="29:33" x14ac:dyDescent="0.15">
      <c r="AC1468" s="158">
        <v>53362</v>
      </c>
      <c r="AD1468" s="161">
        <v>3</v>
      </c>
      <c r="AE1468" s="161">
        <v>8</v>
      </c>
      <c r="AF1468" s="161">
        <v>27</v>
      </c>
      <c r="AG1468" s="161">
        <v>2</v>
      </c>
    </row>
    <row r="1469" spans="29:33" x14ac:dyDescent="0.15">
      <c r="AC1469" s="158">
        <v>53391</v>
      </c>
      <c r="AD1469" s="161">
        <v>3</v>
      </c>
      <c r="AE1469" s="161">
        <v>8</v>
      </c>
      <c r="AF1469" s="161">
        <v>28</v>
      </c>
      <c r="AG1469" s="161">
        <v>1</v>
      </c>
    </row>
    <row r="1470" spans="29:33" x14ac:dyDescent="0.15">
      <c r="AC1470" s="158">
        <v>53421</v>
      </c>
      <c r="AD1470" s="161">
        <v>3</v>
      </c>
      <c r="AE1470" s="161">
        <v>8</v>
      </c>
      <c r="AF1470" s="161">
        <v>29</v>
      </c>
      <c r="AG1470" s="161">
        <v>9</v>
      </c>
    </row>
    <row r="1471" spans="29:33" x14ac:dyDescent="0.15">
      <c r="AC1471" s="158">
        <v>53452</v>
      </c>
      <c r="AD1471" s="161">
        <v>3</v>
      </c>
      <c r="AE1471" s="161">
        <v>8</v>
      </c>
      <c r="AF1471" s="161">
        <v>30</v>
      </c>
      <c r="AG1471" s="161">
        <v>8</v>
      </c>
    </row>
    <row r="1472" spans="29:33" x14ac:dyDescent="0.15">
      <c r="AC1472" s="158">
        <v>53483</v>
      </c>
      <c r="AD1472" s="161">
        <v>3</v>
      </c>
      <c r="AE1472" s="161">
        <v>8</v>
      </c>
      <c r="AF1472" s="161">
        <v>31</v>
      </c>
      <c r="AG1472" s="161">
        <v>7</v>
      </c>
    </row>
    <row r="1473" spans="29:33" x14ac:dyDescent="0.15">
      <c r="AC1473" s="158">
        <v>53515</v>
      </c>
      <c r="AD1473" s="161">
        <v>3</v>
      </c>
      <c r="AE1473" s="161">
        <v>8</v>
      </c>
      <c r="AF1473" s="161">
        <v>32</v>
      </c>
      <c r="AG1473" s="161">
        <v>6</v>
      </c>
    </row>
    <row r="1474" spans="29:33" x14ac:dyDescent="0.15">
      <c r="AC1474" s="158">
        <v>53546</v>
      </c>
      <c r="AD1474" s="161">
        <v>3</v>
      </c>
      <c r="AE1474" s="161">
        <v>8</v>
      </c>
      <c r="AF1474" s="161">
        <v>33</v>
      </c>
      <c r="AG1474" s="161">
        <v>5</v>
      </c>
    </row>
    <row r="1475" spans="29:33" x14ac:dyDescent="0.15">
      <c r="AC1475" s="158">
        <v>53577</v>
      </c>
      <c r="AD1475" s="161">
        <v>3</v>
      </c>
      <c r="AE1475" s="161">
        <v>8</v>
      </c>
      <c r="AF1475" s="161">
        <v>34</v>
      </c>
      <c r="AG1475" s="161">
        <v>4</v>
      </c>
    </row>
    <row r="1476" spans="29:33" x14ac:dyDescent="0.15">
      <c r="AC1476" s="158">
        <v>53608</v>
      </c>
      <c r="AD1476" s="161">
        <v>3</v>
      </c>
      <c r="AE1476" s="161">
        <v>8</v>
      </c>
      <c r="AF1476" s="161">
        <v>35</v>
      </c>
      <c r="AG1476" s="161">
        <v>3</v>
      </c>
    </row>
    <row r="1477" spans="29:33" x14ac:dyDescent="0.15">
      <c r="AC1477" s="158">
        <v>53638</v>
      </c>
      <c r="AD1477" s="161">
        <v>3</v>
      </c>
      <c r="AE1477" s="161">
        <v>8</v>
      </c>
      <c r="AF1477" s="161">
        <v>36</v>
      </c>
      <c r="AG1477" s="161">
        <v>2</v>
      </c>
    </row>
    <row r="1478" spans="29:33" x14ac:dyDescent="0.15">
      <c r="AC1478" s="158">
        <v>53668</v>
      </c>
      <c r="AD1478" s="161">
        <v>3</v>
      </c>
      <c r="AE1478" s="161">
        <v>8</v>
      </c>
      <c r="AF1478" s="161">
        <v>37</v>
      </c>
      <c r="AG1478" s="161">
        <v>1</v>
      </c>
    </row>
    <row r="1479" spans="29:33" x14ac:dyDescent="0.15">
      <c r="AC1479" s="158">
        <v>53697</v>
      </c>
      <c r="AD1479" s="161">
        <v>3</v>
      </c>
      <c r="AE1479" s="161">
        <v>8</v>
      </c>
      <c r="AF1479" s="161">
        <v>38</v>
      </c>
      <c r="AG1479" s="161">
        <v>9</v>
      </c>
    </row>
    <row r="1480" spans="29:33" x14ac:dyDescent="0.15">
      <c r="AC1480" s="159">
        <v>53727</v>
      </c>
      <c r="AD1480" s="161">
        <v>4</v>
      </c>
      <c r="AE1480" s="161">
        <v>7</v>
      </c>
      <c r="AF1480" s="161">
        <v>39</v>
      </c>
      <c r="AG1480" s="161">
        <v>8</v>
      </c>
    </row>
    <row r="1481" spans="29:33" x14ac:dyDescent="0.15">
      <c r="AC1481" s="159">
        <v>53757</v>
      </c>
      <c r="AD1481" s="161">
        <v>4</v>
      </c>
      <c r="AE1481" s="161">
        <v>7</v>
      </c>
      <c r="AF1481" s="161">
        <v>40</v>
      </c>
      <c r="AG1481" s="161">
        <v>7</v>
      </c>
    </row>
    <row r="1482" spans="29:33" x14ac:dyDescent="0.15">
      <c r="AC1482" s="159">
        <v>53787</v>
      </c>
      <c r="AD1482" s="161">
        <v>4</v>
      </c>
      <c r="AE1482" s="161">
        <v>7</v>
      </c>
      <c r="AF1482" s="161">
        <v>41</v>
      </c>
      <c r="AG1482" s="161">
        <v>6</v>
      </c>
    </row>
    <row r="1483" spans="29:33" x14ac:dyDescent="0.15">
      <c r="AC1483" s="159">
        <v>53817</v>
      </c>
      <c r="AD1483" s="161">
        <v>4</v>
      </c>
      <c r="AE1483" s="161">
        <v>7</v>
      </c>
      <c r="AF1483" s="161">
        <v>42</v>
      </c>
      <c r="AG1483" s="161">
        <v>5</v>
      </c>
    </row>
    <row r="1484" spans="29:33" x14ac:dyDescent="0.15">
      <c r="AC1484" s="159">
        <v>53849</v>
      </c>
      <c r="AD1484" s="161">
        <v>4</v>
      </c>
      <c r="AE1484" s="161">
        <v>7</v>
      </c>
      <c r="AF1484" s="161">
        <v>43</v>
      </c>
      <c r="AG1484" s="161">
        <v>4</v>
      </c>
    </row>
    <row r="1485" spans="29:33" x14ac:dyDescent="0.15">
      <c r="AC1485" s="159">
        <v>53880</v>
      </c>
      <c r="AD1485" s="161">
        <v>4</v>
      </c>
      <c r="AE1485" s="161">
        <v>7</v>
      </c>
      <c r="AF1485" s="161">
        <v>44</v>
      </c>
      <c r="AG1485" s="161">
        <v>3</v>
      </c>
    </row>
    <row r="1486" spans="29:33" x14ac:dyDescent="0.15">
      <c r="AC1486" s="159">
        <v>53911</v>
      </c>
      <c r="AD1486" s="161">
        <v>4</v>
      </c>
      <c r="AE1486" s="161">
        <v>7</v>
      </c>
      <c r="AF1486" s="161">
        <v>45</v>
      </c>
      <c r="AG1486" s="161">
        <v>2</v>
      </c>
    </row>
    <row r="1487" spans="29:33" x14ac:dyDescent="0.15">
      <c r="AC1487" s="159">
        <v>53943</v>
      </c>
      <c r="AD1487" s="161">
        <v>4</v>
      </c>
      <c r="AE1487" s="161">
        <v>7</v>
      </c>
      <c r="AF1487" s="161">
        <v>46</v>
      </c>
      <c r="AG1487" s="161">
        <v>1</v>
      </c>
    </row>
    <row r="1488" spans="29:33" x14ac:dyDescent="0.15">
      <c r="AC1488" s="159">
        <v>53973</v>
      </c>
      <c r="AD1488" s="161">
        <v>4</v>
      </c>
      <c r="AE1488" s="161">
        <v>7</v>
      </c>
      <c r="AF1488" s="161">
        <v>47</v>
      </c>
      <c r="AG1488" s="161">
        <v>9</v>
      </c>
    </row>
    <row r="1489" spans="29:33" x14ac:dyDescent="0.15">
      <c r="AC1489" s="159">
        <v>54003</v>
      </c>
      <c r="AD1489" s="161">
        <v>4</v>
      </c>
      <c r="AE1489" s="161">
        <v>7</v>
      </c>
      <c r="AF1489" s="161">
        <v>48</v>
      </c>
      <c r="AG1489" s="161">
        <v>8</v>
      </c>
    </row>
    <row r="1490" spans="29:33" x14ac:dyDescent="0.15">
      <c r="AC1490" s="159">
        <v>54033</v>
      </c>
      <c r="AD1490" s="161">
        <v>4</v>
      </c>
      <c r="AE1490" s="161">
        <v>7</v>
      </c>
      <c r="AF1490" s="161">
        <v>49</v>
      </c>
      <c r="AG1490" s="161">
        <v>7</v>
      </c>
    </row>
    <row r="1491" spans="29:33" x14ac:dyDescent="0.15">
      <c r="AC1491" s="159">
        <v>54063</v>
      </c>
      <c r="AD1491" s="161">
        <v>4</v>
      </c>
      <c r="AE1491" s="161">
        <v>7</v>
      </c>
      <c r="AF1491" s="161">
        <v>50</v>
      </c>
      <c r="AG1491" s="161">
        <v>6</v>
      </c>
    </row>
    <row r="1492" spans="29:33" x14ac:dyDescent="0.15">
      <c r="AC1492" s="159">
        <v>54092</v>
      </c>
      <c r="AD1492" s="161">
        <v>5</v>
      </c>
      <c r="AE1492" s="161">
        <v>6</v>
      </c>
      <c r="AF1492" s="161">
        <v>51</v>
      </c>
      <c r="AG1492" s="161">
        <v>5</v>
      </c>
    </row>
    <row r="1493" spans="29:33" x14ac:dyDescent="0.15">
      <c r="AC1493" s="159">
        <v>54122</v>
      </c>
      <c r="AD1493" s="161">
        <v>5</v>
      </c>
      <c r="AE1493" s="161">
        <v>6</v>
      </c>
      <c r="AF1493" s="161">
        <v>52</v>
      </c>
      <c r="AG1493" s="161">
        <v>4</v>
      </c>
    </row>
    <row r="1494" spans="29:33" x14ac:dyDescent="0.15">
      <c r="AC1494" s="159">
        <v>54152</v>
      </c>
      <c r="AD1494" s="161">
        <v>5</v>
      </c>
      <c r="AE1494" s="161">
        <v>6</v>
      </c>
      <c r="AF1494" s="161">
        <v>53</v>
      </c>
      <c r="AG1494" s="161">
        <v>3</v>
      </c>
    </row>
    <row r="1495" spans="29:33" x14ac:dyDescent="0.15">
      <c r="AC1495" s="159">
        <v>54183</v>
      </c>
      <c r="AD1495" s="161">
        <v>5</v>
      </c>
      <c r="AE1495" s="161">
        <v>6</v>
      </c>
      <c r="AF1495" s="161">
        <v>54</v>
      </c>
      <c r="AG1495" s="161">
        <v>2</v>
      </c>
    </row>
    <row r="1496" spans="29:33" x14ac:dyDescent="0.15">
      <c r="AC1496" s="159">
        <v>54214</v>
      </c>
      <c r="AD1496" s="161">
        <v>5</v>
      </c>
      <c r="AE1496" s="161">
        <v>6</v>
      </c>
      <c r="AF1496" s="161">
        <v>55</v>
      </c>
      <c r="AG1496" s="161">
        <v>1</v>
      </c>
    </row>
    <row r="1497" spans="29:33" x14ac:dyDescent="0.15">
      <c r="AC1497" s="159">
        <v>54245</v>
      </c>
      <c r="AD1497" s="161">
        <v>5</v>
      </c>
      <c r="AE1497" s="161">
        <v>6</v>
      </c>
      <c r="AF1497" s="161">
        <v>56</v>
      </c>
      <c r="AG1497" s="161">
        <v>9</v>
      </c>
    </row>
    <row r="1498" spans="29:33" x14ac:dyDescent="0.15">
      <c r="AC1498" s="159">
        <v>54277</v>
      </c>
      <c r="AD1498" s="161">
        <v>5</v>
      </c>
      <c r="AE1498" s="161">
        <v>6</v>
      </c>
      <c r="AF1498" s="161">
        <v>57</v>
      </c>
      <c r="AG1498" s="161">
        <v>8</v>
      </c>
    </row>
    <row r="1499" spans="29:33" x14ac:dyDescent="0.15">
      <c r="AC1499" s="159">
        <v>54308</v>
      </c>
      <c r="AD1499" s="161">
        <v>5</v>
      </c>
      <c r="AE1499" s="161">
        <v>6</v>
      </c>
      <c r="AF1499" s="161">
        <v>58</v>
      </c>
      <c r="AG1499" s="161">
        <v>7</v>
      </c>
    </row>
    <row r="1500" spans="29:33" x14ac:dyDescent="0.15">
      <c r="AC1500" s="159">
        <v>54338</v>
      </c>
      <c r="AD1500" s="161">
        <v>5</v>
      </c>
      <c r="AE1500" s="161">
        <v>6</v>
      </c>
      <c r="AF1500" s="161">
        <v>59</v>
      </c>
      <c r="AG1500" s="161">
        <v>6</v>
      </c>
    </row>
    <row r="1501" spans="29:33" x14ac:dyDescent="0.15">
      <c r="AC1501" s="159">
        <v>54369</v>
      </c>
      <c r="AD1501" s="161">
        <v>5</v>
      </c>
      <c r="AE1501" s="161">
        <v>6</v>
      </c>
      <c r="AF1501" s="161">
        <v>60</v>
      </c>
      <c r="AG1501" s="161">
        <v>5</v>
      </c>
    </row>
    <row r="1502" spans="29:33" x14ac:dyDescent="0.15">
      <c r="AC1502" s="159">
        <v>54398</v>
      </c>
      <c r="AD1502" s="161">
        <v>5</v>
      </c>
      <c r="AE1502" s="161">
        <v>6</v>
      </c>
      <c r="AF1502" s="161">
        <v>1</v>
      </c>
      <c r="AG1502" s="161">
        <v>4</v>
      </c>
    </row>
    <row r="1503" spans="29:33" x14ac:dyDescent="0.15">
      <c r="AC1503" s="159">
        <v>54428</v>
      </c>
      <c r="AD1503" s="161">
        <v>5</v>
      </c>
      <c r="AE1503" s="161">
        <v>6</v>
      </c>
      <c r="AF1503" s="161">
        <v>2</v>
      </c>
      <c r="AG1503" s="161">
        <v>3</v>
      </c>
    </row>
    <row r="1504" spans="29:33" x14ac:dyDescent="0.15">
      <c r="AC1504" s="159">
        <v>54457</v>
      </c>
      <c r="AD1504" s="161">
        <v>6</v>
      </c>
      <c r="AE1504" s="161">
        <v>5</v>
      </c>
      <c r="AF1504" s="161">
        <v>3</v>
      </c>
      <c r="AG1504" s="161">
        <v>2</v>
      </c>
    </row>
    <row r="1505" spans="29:33" x14ac:dyDescent="0.15">
      <c r="AC1505" s="159">
        <v>54487</v>
      </c>
      <c r="AD1505" s="161">
        <v>6</v>
      </c>
      <c r="AE1505" s="161">
        <v>5</v>
      </c>
      <c r="AF1505" s="161">
        <v>4</v>
      </c>
      <c r="AG1505" s="161">
        <v>1</v>
      </c>
    </row>
    <row r="1506" spans="29:33" x14ac:dyDescent="0.15">
      <c r="AC1506" s="159">
        <v>54517</v>
      </c>
      <c r="AD1506" s="161">
        <v>6</v>
      </c>
      <c r="AE1506" s="161">
        <v>5</v>
      </c>
      <c r="AF1506" s="161">
        <v>5</v>
      </c>
      <c r="AG1506" s="161">
        <v>9</v>
      </c>
    </row>
    <row r="1507" spans="29:33" x14ac:dyDescent="0.15">
      <c r="AC1507" s="159">
        <v>54548</v>
      </c>
      <c r="AD1507" s="161">
        <v>6</v>
      </c>
      <c r="AE1507" s="161">
        <v>5</v>
      </c>
      <c r="AF1507" s="161">
        <v>6</v>
      </c>
      <c r="AG1507" s="161">
        <v>8</v>
      </c>
    </row>
    <row r="1508" spans="29:33" x14ac:dyDescent="0.15">
      <c r="AC1508" s="159">
        <v>54579</v>
      </c>
      <c r="AD1508" s="161">
        <v>6</v>
      </c>
      <c r="AE1508" s="161">
        <v>5</v>
      </c>
      <c r="AF1508" s="161">
        <v>7</v>
      </c>
      <c r="AG1508" s="161">
        <v>7</v>
      </c>
    </row>
    <row r="1509" spans="29:33" x14ac:dyDescent="0.15">
      <c r="AC1509" s="159">
        <v>54611</v>
      </c>
      <c r="AD1509" s="161">
        <v>6</v>
      </c>
      <c r="AE1509" s="161">
        <v>5</v>
      </c>
      <c r="AF1509" s="161">
        <v>8</v>
      </c>
      <c r="AG1509" s="161">
        <v>6</v>
      </c>
    </row>
    <row r="1510" spans="29:33" x14ac:dyDescent="0.15">
      <c r="AC1510" s="159">
        <v>54642</v>
      </c>
      <c r="AD1510" s="161">
        <v>6</v>
      </c>
      <c r="AE1510" s="161">
        <v>5</v>
      </c>
      <c r="AF1510" s="161">
        <v>9</v>
      </c>
      <c r="AG1510" s="161">
        <v>5</v>
      </c>
    </row>
    <row r="1511" spans="29:33" x14ac:dyDescent="0.15">
      <c r="AC1511" s="159">
        <v>54673</v>
      </c>
      <c r="AD1511" s="161">
        <v>6</v>
      </c>
      <c r="AE1511" s="161">
        <v>5</v>
      </c>
      <c r="AF1511" s="161">
        <v>10</v>
      </c>
      <c r="AG1511" s="161">
        <v>4</v>
      </c>
    </row>
    <row r="1512" spans="29:33" x14ac:dyDescent="0.15">
      <c r="AC1512" s="159">
        <v>54704</v>
      </c>
      <c r="AD1512" s="161">
        <v>6</v>
      </c>
      <c r="AE1512" s="161">
        <v>5</v>
      </c>
      <c r="AF1512" s="161">
        <v>11</v>
      </c>
      <c r="AG1512" s="161">
        <v>3</v>
      </c>
    </row>
    <row r="1513" spans="29:33" x14ac:dyDescent="0.15">
      <c r="AC1513" s="159">
        <v>54734</v>
      </c>
      <c r="AD1513" s="161">
        <v>6</v>
      </c>
      <c r="AE1513" s="161">
        <v>5</v>
      </c>
      <c r="AF1513" s="161">
        <v>12</v>
      </c>
      <c r="AG1513" s="161">
        <v>2</v>
      </c>
    </row>
    <row r="1514" spans="29:33" x14ac:dyDescent="0.15">
      <c r="AC1514" s="159">
        <v>54764</v>
      </c>
      <c r="AD1514" s="161">
        <v>6</v>
      </c>
      <c r="AE1514" s="161">
        <v>5</v>
      </c>
      <c r="AF1514" s="161">
        <v>13</v>
      </c>
      <c r="AG1514" s="161">
        <v>1</v>
      </c>
    </row>
    <row r="1515" spans="29:33" x14ac:dyDescent="0.15">
      <c r="AC1515" s="159">
        <v>54793</v>
      </c>
      <c r="AD1515" s="161">
        <v>6</v>
      </c>
      <c r="AE1515" s="161">
        <v>5</v>
      </c>
      <c r="AF1515" s="161">
        <v>14</v>
      </c>
      <c r="AG1515" s="161">
        <v>9</v>
      </c>
    </row>
    <row r="1516" spans="29:33" x14ac:dyDescent="0.15">
      <c r="AC1516" s="159">
        <v>54823</v>
      </c>
      <c r="AD1516" s="161">
        <v>7</v>
      </c>
      <c r="AE1516" s="161">
        <v>4</v>
      </c>
      <c r="AF1516" s="161">
        <v>15</v>
      </c>
      <c r="AG1516" s="161">
        <v>8</v>
      </c>
    </row>
    <row r="1517" spans="29:33" x14ac:dyDescent="0.15">
      <c r="AC1517" s="159">
        <v>54852</v>
      </c>
      <c r="AD1517" s="161">
        <v>7</v>
      </c>
      <c r="AE1517" s="161">
        <v>4</v>
      </c>
      <c r="AF1517" s="161">
        <v>16</v>
      </c>
      <c r="AG1517" s="161">
        <v>7</v>
      </c>
    </row>
    <row r="1518" spans="29:33" x14ac:dyDescent="0.15">
      <c r="AC1518" s="159">
        <v>54882</v>
      </c>
      <c r="AD1518" s="161">
        <v>7</v>
      </c>
      <c r="AE1518" s="161">
        <v>4</v>
      </c>
      <c r="AF1518" s="161">
        <v>17</v>
      </c>
      <c r="AG1518" s="161">
        <v>6</v>
      </c>
    </row>
    <row r="1519" spans="29:33" x14ac:dyDescent="0.15">
      <c r="AC1519" s="159">
        <v>54913</v>
      </c>
      <c r="AD1519" s="161">
        <v>7</v>
      </c>
      <c r="AE1519" s="161">
        <v>4</v>
      </c>
      <c r="AF1519" s="161">
        <v>18</v>
      </c>
      <c r="AG1519" s="161">
        <v>5</v>
      </c>
    </row>
    <row r="1520" spans="29:33" x14ac:dyDescent="0.15">
      <c r="AC1520" s="159">
        <v>54944</v>
      </c>
      <c r="AD1520" s="161">
        <v>7</v>
      </c>
      <c r="AE1520" s="161">
        <v>4</v>
      </c>
      <c r="AF1520" s="161">
        <v>19</v>
      </c>
      <c r="AG1520" s="161">
        <v>4</v>
      </c>
    </row>
    <row r="1521" spans="29:33" x14ac:dyDescent="0.15">
      <c r="AC1521" s="159">
        <v>54976</v>
      </c>
      <c r="AD1521" s="161">
        <v>7</v>
      </c>
      <c r="AE1521" s="161">
        <v>4</v>
      </c>
      <c r="AF1521" s="161">
        <v>20</v>
      </c>
      <c r="AG1521" s="161">
        <v>3</v>
      </c>
    </row>
    <row r="1522" spans="29:33" x14ac:dyDescent="0.15">
      <c r="AC1522" s="159">
        <v>55007</v>
      </c>
      <c r="AD1522" s="161">
        <v>7</v>
      </c>
      <c r="AE1522" s="161">
        <v>4</v>
      </c>
      <c r="AF1522" s="161">
        <v>21</v>
      </c>
      <c r="AG1522" s="161">
        <v>2</v>
      </c>
    </row>
    <row r="1523" spans="29:33" x14ac:dyDescent="0.15">
      <c r="AC1523" s="159">
        <v>55038</v>
      </c>
      <c r="AD1523" s="161">
        <v>7</v>
      </c>
      <c r="AE1523" s="161">
        <v>4</v>
      </c>
      <c r="AF1523" s="161">
        <v>22</v>
      </c>
      <c r="AG1523" s="161">
        <v>1</v>
      </c>
    </row>
    <row r="1524" spans="29:33" x14ac:dyDescent="0.15">
      <c r="AC1524" s="159">
        <v>55069</v>
      </c>
      <c r="AD1524" s="161">
        <v>7</v>
      </c>
      <c r="AE1524" s="161">
        <v>4</v>
      </c>
      <c r="AF1524" s="161">
        <v>23</v>
      </c>
      <c r="AG1524" s="161">
        <v>9</v>
      </c>
    </row>
    <row r="1525" spans="29:33" x14ac:dyDescent="0.15">
      <c r="AC1525" s="159">
        <v>55099</v>
      </c>
      <c r="AD1525" s="161">
        <v>7</v>
      </c>
      <c r="AE1525" s="161">
        <v>4</v>
      </c>
      <c r="AF1525" s="161">
        <v>24</v>
      </c>
      <c r="AG1525" s="161">
        <v>8</v>
      </c>
    </row>
    <row r="1526" spans="29:33" x14ac:dyDescent="0.15">
      <c r="AC1526" s="159">
        <v>55129</v>
      </c>
      <c r="AD1526" s="161">
        <v>7</v>
      </c>
      <c r="AE1526" s="161">
        <v>4</v>
      </c>
      <c r="AF1526" s="161">
        <v>25</v>
      </c>
      <c r="AG1526" s="161">
        <v>7</v>
      </c>
    </row>
    <row r="1527" spans="29:33" x14ac:dyDescent="0.15">
      <c r="AC1527" s="159">
        <v>55158</v>
      </c>
      <c r="AD1527" s="161">
        <v>7</v>
      </c>
      <c r="AE1527" s="161">
        <v>4</v>
      </c>
      <c r="AF1527" s="161">
        <v>26</v>
      </c>
      <c r="AG1527" s="161">
        <v>6</v>
      </c>
    </row>
  </sheetData>
  <mergeCells count="5">
    <mergeCell ref="J8:K8"/>
    <mergeCell ref="M8:N8"/>
    <mergeCell ref="B13:B17"/>
    <mergeCell ref="D8:E8"/>
    <mergeCell ref="G8:H8"/>
  </mergeCells>
  <phoneticPr fontId="3"/>
  <pageMargins left="0.78749999999999998" right="0.78749999999999998" top="0.78749999999999998" bottom="0.78749999999999998" header="0.51180555555555562" footer="0.51180555555555562"/>
  <pageSetup paperSize="9" firstPageNumber="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九星気学方位盤</vt:lpstr>
      <vt:lpstr>吉凶判定表</vt:lpstr>
      <vt:lpstr>keisan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　輝美</dc:creator>
  <cp:lastModifiedBy>所　輝美tokoroterumi</cp:lastModifiedBy>
  <cp:revision>1</cp:revision>
  <cp:lastPrinted>2006-11-09T06:21:20Z</cp:lastPrinted>
  <dcterms:created xsi:type="dcterms:W3CDTF">2006-09-29T05:10:50Z</dcterms:created>
  <dcterms:modified xsi:type="dcterms:W3CDTF">2021-10-12T09:06:35Z</dcterms:modified>
</cp:coreProperties>
</file>